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8190" activeTab="0"/>
  </bookViews>
  <sheets>
    <sheet name="INSTRUCCIONES" sheetId="1" r:id="rId1"/>
    <sheet name="COSTO DE CAPITAL" sheetId="2" r:id="rId2"/>
  </sheets>
  <definedNames/>
  <calcPr fullCalcOnLoad="1"/>
</workbook>
</file>

<file path=xl/sharedStrings.xml><?xml version="1.0" encoding="utf-8"?>
<sst xmlns="http://schemas.openxmlformats.org/spreadsheetml/2006/main" count="370" uniqueCount="98">
  <si>
    <t>COSTO DE LOS MONTOS PRESTADOS POR LA EMPRESA</t>
  </si>
  <si>
    <t>PROYECTO DE PRUEBA</t>
  </si>
  <si>
    <t>PUNTOS DE RUPTURA</t>
  </si>
  <si>
    <t>MAGNITUD</t>
  </si>
  <si>
    <t>MMV</t>
  </si>
  <si>
    <t>BBV</t>
  </si>
  <si>
    <t>TTV</t>
  </si>
  <si>
    <t>SSV</t>
  </si>
  <si>
    <t>AAV</t>
  </si>
  <si>
    <t>EFECTIVA</t>
  </si>
  <si>
    <t>MENSUAL</t>
  </si>
  <si>
    <t>SI</t>
  </si>
  <si>
    <t>AMV</t>
  </si>
  <si>
    <t>DTF</t>
  </si>
  <si>
    <t>PUNTOS</t>
  </si>
  <si>
    <t>BIMENSUAL</t>
  </si>
  <si>
    <t>NO</t>
  </si>
  <si>
    <t>ABV</t>
  </si>
  <si>
    <t>TRIMESTRAL</t>
  </si>
  <si>
    <t>ATV</t>
  </si>
  <si>
    <t>SEMESTRAL</t>
  </si>
  <si>
    <t>ASV</t>
  </si>
  <si>
    <t>ANNUAL</t>
  </si>
  <si>
    <t>AMA</t>
  </si>
  <si>
    <t>ABA</t>
  </si>
  <si>
    <t>ATA</t>
  </si>
  <si>
    <t>ASA</t>
  </si>
  <si>
    <t>AAA</t>
  </si>
  <si>
    <t>MONTO</t>
  </si>
  <si>
    <t>COSTO</t>
  </si>
  <si>
    <t>BANCO 1</t>
  </si>
  <si>
    <t>IMPUESTOS</t>
  </si>
  <si>
    <t>BANCO 2</t>
  </si>
  <si>
    <t>BANCO 3</t>
  </si>
  <si>
    <t>DEUDA MONEDA EXTRANJERA</t>
  </si>
  <si>
    <t>UTILIDADES RETENIDAS</t>
  </si>
  <si>
    <t>ACCIONES DIVIDENDO MINIMO PREFERENCIAL</t>
  </si>
  <si>
    <t>CAPITAL COMUN</t>
  </si>
  <si>
    <t>NECESARIO</t>
  </si>
  <si>
    <t>MONTO A SOLICITAR</t>
  </si>
  <si>
    <t>TIPO DE PRESTAMO</t>
  </si>
  <si>
    <t>+</t>
  </si>
  <si>
    <t>DIVIDENDO</t>
  </si>
  <si>
    <t>TASA</t>
  </si>
  <si>
    <t>TASA DE CRECIMIENTO (G)</t>
  </si>
  <si>
    <t>precio</t>
  </si>
  <si>
    <t>Ke</t>
  </si>
  <si>
    <t>TASA EFECTIVA</t>
  </si>
  <si>
    <t>PRECIO</t>
  </si>
  <si>
    <t>PERIODICIDAD</t>
  </si>
  <si>
    <t>TIEMPO</t>
  </si>
  <si>
    <t>PERIODOS</t>
  </si>
  <si>
    <t>COMISION DE APERTURA</t>
  </si>
  <si>
    <t>COMISION DE MANTENIMIENTO</t>
  </si>
  <si>
    <t>ACCIONES CON DIVIDENDO MINIMO PREFERENCIAL</t>
  </si>
  <si>
    <t>KI*</t>
  </si>
  <si>
    <t>Monto</t>
  </si>
  <si>
    <t>div.min.pref</t>
  </si>
  <si>
    <t>emision</t>
  </si>
  <si>
    <t>DIV.MIN.PREFERENCIAL</t>
  </si>
  <si>
    <t>COST.EMISION</t>
  </si>
  <si>
    <t>CAPITAL</t>
  </si>
  <si>
    <t>EMISION ACTUAL</t>
  </si>
  <si>
    <t>NUEVA EMISION</t>
  </si>
  <si>
    <t>CRECIMIENTO</t>
  </si>
  <si>
    <t>flotacion</t>
  </si>
  <si>
    <t>FLOTACION</t>
  </si>
  <si>
    <t>No</t>
  </si>
  <si>
    <t>INTERES</t>
  </si>
  <si>
    <t>PAGO</t>
  </si>
  <si>
    <t>COMISIONES</t>
  </si>
  <si>
    <t>FLUJO DE CAJA</t>
  </si>
  <si>
    <t>DCT POR INTERESES</t>
  </si>
  <si>
    <t>FC ANNUAL</t>
  </si>
  <si>
    <t>EFECTIVA (EA)</t>
  </si>
  <si>
    <t>PRIME (ASV)</t>
  </si>
  <si>
    <t>DEVALUACION ANNUAL</t>
  </si>
  <si>
    <t>KI (PERIODO EN USD)</t>
  </si>
  <si>
    <t>KI(ANNUAL EN USD)</t>
  </si>
  <si>
    <t>KI* (MONED.LOCAL)</t>
  </si>
  <si>
    <t>COSTO DE CAPITAL-INSTITUTO SEYA-CALI</t>
  </si>
  <si>
    <t>POR FAVOR, LEA LAS INSTRUCCIONES CON ATENCION ANTES DE USAR LA HOJA DE CALCULO</t>
  </si>
  <si>
    <t>LOS CAMPOS QUE SE ENCUENTRAN EN COLOR AMARILLO, SON LOS QUE DEBEN SER MODIFICADOS POR EL USUARIO</t>
  </si>
  <si>
    <t>LOS CAMPOS EN GRIS, SE REFIEREN A LAS TASAS, ESTE TRABAJO SOLO TIENE EL ALCANCE DE DTF Y TASA EFECTIVA</t>
  </si>
  <si>
    <t>PERO DEBEN INGRESARSE POR MEDIO DE LA PESTANA, EN ELLA DA LAS 2 OPCIONES</t>
  </si>
  <si>
    <t>LOS PUNTOS ADICIONALES DEL INDICE (LOS QUE ESTAN POSTERIORES AL SIGNO +) TIENEN UNA CELDA QUE DETALLA SUS</t>
  </si>
  <si>
    <t>UNIDADES, ESTAS DEBEN INGRESARSE TAMBIEN CON LA PESTANA, EN EL CASO DE QUE LA TASA SEA EFECTIVA, SE DESACTIVA</t>
  </si>
  <si>
    <t>LA CELDA DE LOS PUNTOS ADICIONALES, AUNQUE SE ENCUENTRE ALGUN VALOR, EN OTRAS PALABRAS, LA CELDA DE LOS PUNTOS</t>
  </si>
  <si>
    <t>SOLAMENTE INFLUYEN EL RESULTADO SI Y SOLO SI LA TASA ES DTF.</t>
  </si>
  <si>
    <t>LA CELDA QUE DETALLA LA MONEDA EXTRANGERA ESTA EN TERMINOS DE PRIME Y TASA EFECTIVA, LA UNICA OPCION DE LA PRIME ES</t>
  </si>
  <si>
    <t>EN UNIDADES ASV (ANO SEMESTRE VENCIDO-CONVENCION INTERNACIONAL DE BONOS) LAS UNIDADES FUNCIONAN DE LA MISMA FORMA</t>
  </si>
  <si>
    <t>QUE EN EL CASO DE DEUDA EN MONEDA LOCAL</t>
  </si>
  <si>
    <t xml:space="preserve">LOS DATOS DEL INDICE DTF SE ENCUENTRAN EN DATOS AAV, (ANO, ANO VENCIDO O EFECTIVO ANNUAL) </t>
  </si>
  <si>
    <t>EN EL CASO DE QUE EL USUARIO SIMULE SU COSTO DE CAPITAL EN PAISES EN LOS CUALES NO EXISTE TAL COSA COMO LA DTF</t>
  </si>
  <si>
    <t>PUEDE UTILIZAR ESTA HOJA DE CALCULO TENIENDO EN CUENTA QUE SU INDICE DEBE LLEVARLO A AAV (EFECTIVO ANNUAL) Y FUNCIONA</t>
  </si>
  <si>
    <t>IGUAL DADO QUE UNIVERSALMENTE, LOS INDICES SE LLEVAN A LAS UNIDADES DE LOS PUNTOS Y NO VISEVERSA (EL RESULTADO ES DIFERENTE</t>
  </si>
  <si>
    <t>E INCORRECTO)</t>
  </si>
  <si>
    <t>TENGA PRECAUCION, LAS CELDAS NO ESTAN PROTEGIDAS, SOLO CAMBIE LAS CELDAS QUE SE ENCUENTRAN EN AMARILLO O GRIS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</si>
</sst>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%"/>
    <numFmt numFmtId="165" formatCode="0.000000%"/>
    <numFmt numFmtId="166" formatCode="0.000%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/>
    </xf>
    <xf numFmtId="43" fontId="0" fillId="0" borderId="0" xfId="15" applyFont="1" applyBorder="1" applyAlignment="1">
      <alignment/>
    </xf>
    <xf numFmtId="164" fontId="0" fillId="0" borderId="0" xfId="19" applyNumberForma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0" xfId="19" applyNumberFormat="1" applyBorder="1" applyAlignment="1">
      <alignment wrapText="1"/>
    </xf>
    <xf numFmtId="10" fontId="1" fillId="0" borderId="0" xfId="0" applyNumberFormat="1" applyFont="1" applyAlignment="1">
      <alignment/>
    </xf>
    <xf numFmtId="10" fontId="0" fillId="0" borderId="0" xfId="19" applyNumberFormat="1" applyBorder="1" applyAlignment="1">
      <alignment/>
    </xf>
    <xf numFmtId="10" fontId="0" fillId="0" borderId="0" xfId="19" applyNumberFormat="1" applyAlignment="1">
      <alignment wrapText="1"/>
    </xf>
    <xf numFmtId="10" fontId="1" fillId="0" borderId="0" xfId="19" applyNumberFormat="1" applyFont="1" applyAlignment="1">
      <alignment wrapText="1"/>
    </xf>
    <xf numFmtId="0" fontId="1" fillId="2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 wrapText="1"/>
    </xf>
    <xf numFmtId="43" fontId="1" fillId="3" borderId="5" xfId="15" applyFont="1" applyFill="1" applyBorder="1" applyAlignment="1">
      <alignment/>
    </xf>
    <xf numFmtId="10" fontId="1" fillId="4" borderId="4" xfId="15" applyNumberFormat="1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9" fontId="1" fillId="3" borderId="3" xfId="0" applyNumberFormat="1" applyFont="1" applyFill="1" applyBorder="1" applyAlignment="1">
      <alignment/>
    </xf>
    <xf numFmtId="43" fontId="1" fillId="3" borderId="4" xfId="15" applyFont="1" applyFill="1" applyBorder="1" applyAlignment="1">
      <alignment/>
    </xf>
    <xf numFmtId="43" fontId="1" fillId="3" borderId="6" xfId="15" applyFont="1" applyFill="1" applyBorder="1" applyAlignment="1">
      <alignment/>
    </xf>
    <xf numFmtId="0" fontId="1" fillId="4" borderId="4" xfId="0" applyFont="1" applyFill="1" applyBorder="1" applyAlignment="1">
      <alignment horizontal="right"/>
    </xf>
    <xf numFmtId="10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3" xfId="0" applyFill="1" applyBorder="1" applyAlignment="1">
      <alignment/>
    </xf>
    <xf numFmtId="0" fontId="1" fillId="2" borderId="9" xfId="0" applyFont="1" applyFill="1" applyBorder="1" applyAlignment="1">
      <alignment wrapText="1"/>
    </xf>
    <xf numFmtId="43" fontId="1" fillId="4" borderId="3" xfId="15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1" fillId="2" borderId="12" xfId="0" applyFont="1" applyFill="1" applyBorder="1" applyAlignment="1">
      <alignment wrapText="1"/>
    </xf>
    <xf numFmtId="44" fontId="1" fillId="4" borderId="8" xfId="17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3" fontId="1" fillId="3" borderId="3" xfId="15" applyFont="1" applyFill="1" applyBorder="1" applyAlignment="1">
      <alignment/>
    </xf>
    <xf numFmtId="0" fontId="0" fillId="0" borderId="0" xfId="0" applyBorder="1" applyAlignment="1">
      <alignment horizontal="center"/>
    </xf>
    <xf numFmtId="9" fontId="1" fillId="3" borderId="4" xfId="0" applyNumberFormat="1" applyFont="1" applyFill="1" applyBorder="1" applyAlignment="1">
      <alignment/>
    </xf>
    <xf numFmtId="10" fontId="0" fillId="0" borderId="0" xfId="19" applyNumberFormat="1" applyFill="1" applyBorder="1" applyAlignment="1">
      <alignment/>
    </xf>
    <xf numFmtId="9" fontId="0" fillId="4" borderId="4" xfId="0" applyNumberFormat="1" applyFill="1" applyBorder="1" applyAlignment="1">
      <alignment/>
    </xf>
    <xf numFmtId="44" fontId="1" fillId="0" borderId="10" xfId="17" applyFont="1" applyBorder="1" applyAlignment="1">
      <alignment/>
    </xf>
    <xf numFmtId="10" fontId="0" fillId="0" borderId="0" xfId="0" applyNumberForma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0" fontId="0" fillId="0" borderId="0" xfId="19" applyNumberFormat="1" applyBorder="1" applyAlignment="1">
      <alignment horizontal="center"/>
    </xf>
    <xf numFmtId="10" fontId="1" fillId="0" borderId="13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0" fontId="1" fillId="4" borderId="3" xfId="0" applyNumberFormat="1" applyFont="1" applyFill="1" applyBorder="1" applyAlignment="1">
      <alignment/>
    </xf>
    <xf numFmtId="43" fontId="1" fillId="3" borderId="14" xfId="15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4" borderId="3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0" fontId="1" fillId="4" borderId="3" xfId="19" applyNumberFormat="1" applyFont="1" applyFill="1" applyBorder="1" applyAlignment="1">
      <alignment wrapText="1"/>
    </xf>
    <xf numFmtId="10" fontId="1" fillId="3" borderId="3" xfId="19" applyNumberFormat="1" applyFont="1" applyFill="1" applyBorder="1" applyAlignment="1">
      <alignment/>
    </xf>
    <xf numFmtId="0" fontId="1" fillId="4" borderId="15" xfId="0" applyFont="1" applyFill="1" applyBorder="1" applyAlignment="1">
      <alignment wrapText="1"/>
    </xf>
    <xf numFmtId="10" fontId="1" fillId="4" borderId="4" xfId="19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wrapText="1"/>
    </xf>
    <xf numFmtId="43" fontId="0" fillId="0" borderId="10" xfId="15" applyBorder="1" applyAlignment="1">
      <alignment/>
    </xf>
    <xf numFmtId="9" fontId="0" fillId="0" borderId="10" xfId="0" applyNumberFormat="1" applyBorder="1" applyAlignment="1">
      <alignment/>
    </xf>
    <xf numFmtId="0" fontId="1" fillId="0" borderId="17" xfId="0" applyFont="1" applyBorder="1" applyAlignment="1">
      <alignment/>
    </xf>
    <xf numFmtId="165" fontId="1" fillId="0" borderId="18" xfId="19" applyNumberFormat="1" applyFont="1" applyBorder="1" applyAlignment="1">
      <alignment/>
    </xf>
    <xf numFmtId="0" fontId="0" fillId="0" borderId="10" xfId="0" applyBorder="1" applyAlignment="1">
      <alignment wrapText="1"/>
    </xf>
    <xf numFmtId="164" fontId="0" fillId="0" borderId="11" xfId="0" applyNumberFormat="1" applyBorder="1" applyAlignment="1">
      <alignment wrapText="1"/>
    </xf>
    <xf numFmtId="164" fontId="0" fillId="0" borderId="10" xfId="19" applyNumberFormat="1" applyBorder="1" applyAlignment="1">
      <alignment wrapText="1"/>
    </xf>
    <xf numFmtId="166" fontId="0" fillId="0" borderId="0" xfId="0" applyNumberFormat="1" applyAlignment="1">
      <alignment/>
    </xf>
    <xf numFmtId="10" fontId="0" fillId="0" borderId="0" xfId="19" applyNumberFormat="1" applyFont="1" applyBorder="1" applyAlignment="1">
      <alignment/>
    </xf>
    <xf numFmtId="10" fontId="0" fillId="0" borderId="11" xfId="19" applyNumberFormat="1" applyBorder="1" applyAlignment="1">
      <alignment wrapText="1"/>
    </xf>
    <xf numFmtId="10" fontId="1" fillId="0" borderId="10" xfId="19" applyNumberFormat="1" applyFont="1" applyBorder="1" applyAlignment="1">
      <alignment wrapText="1"/>
    </xf>
    <xf numFmtId="10" fontId="0" fillId="0" borderId="10" xfId="19" applyNumberFormat="1" applyBorder="1" applyAlignment="1">
      <alignment wrapText="1"/>
    </xf>
    <xf numFmtId="43" fontId="1" fillId="4" borderId="3" xfId="15" applyFont="1" applyFill="1" applyBorder="1" applyAlignment="1">
      <alignment wrapText="1"/>
    </xf>
    <xf numFmtId="43" fontId="1" fillId="3" borderId="3" xfId="15" applyFont="1" applyFill="1" applyBorder="1" applyAlignment="1">
      <alignment wrapText="1"/>
    </xf>
    <xf numFmtId="9" fontId="1" fillId="3" borderId="14" xfId="0" applyNumberFormat="1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4" borderId="19" xfId="0" applyFont="1" applyFill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2" borderId="4" xfId="0" applyFont="1" applyFill="1" applyBorder="1" applyAlignment="1">
      <alignment/>
    </xf>
    <xf numFmtId="43" fontId="1" fillId="3" borderId="10" xfId="15" applyFont="1" applyFill="1" applyBorder="1" applyAlignment="1">
      <alignment wrapText="1"/>
    </xf>
    <xf numFmtId="43" fontId="1" fillId="4" borderId="4" xfId="15" applyFont="1" applyFill="1" applyBorder="1" applyAlignment="1">
      <alignment/>
    </xf>
    <xf numFmtId="9" fontId="1" fillId="4" borderId="3" xfId="0" applyNumberFormat="1" applyFont="1" applyFill="1" applyBorder="1" applyAlignment="1">
      <alignment wrapText="1"/>
    </xf>
    <xf numFmtId="164" fontId="1" fillId="2" borderId="12" xfId="0" applyNumberFormat="1" applyFont="1" applyFill="1" applyBorder="1" applyAlignment="1">
      <alignment wrapText="1"/>
    </xf>
    <xf numFmtId="164" fontId="1" fillId="0" borderId="10" xfId="19" applyNumberFormat="1" applyFont="1" applyBorder="1" applyAlignment="1">
      <alignment wrapText="1"/>
    </xf>
    <xf numFmtId="10" fontId="1" fillId="2" borderId="12" xfId="19" applyNumberFormat="1" applyFont="1" applyFill="1" applyBorder="1" applyAlignment="1">
      <alignment wrapText="1"/>
    </xf>
    <xf numFmtId="10" fontId="1" fillId="4" borderId="3" xfId="0" applyNumberFormat="1" applyFont="1" applyFill="1" applyBorder="1" applyAlignment="1">
      <alignment wrapText="1"/>
    </xf>
    <xf numFmtId="0" fontId="1" fillId="0" borderId="14" xfId="0" applyFont="1" applyBorder="1" applyAlignment="1">
      <alignment/>
    </xf>
    <xf numFmtId="0" fontId="1" fillId="4" borderId="20" xfId="0" applyFont="1" applyFill="1" applyBorder="1" applyAlignment="1">
      <alignment wrapText="1"/>
    </xf>
    <xf numFmtId="43" fontId="0" fillId="0" borderId="0" xfId="15" applyAlignment="1">
      <alignment/>
    </xf>
    <xf numFmtId="43" fontId="0" fillId="0" borderId="0" xfId="15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43" fontId="1" fillId="0" borderId="0" xfId="15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/>
    </xf>
    <xf numFmtId="8" fontId="0" fillId="0" borderId="0" xfId="0" applyNumberFormat="1" applyAlignment="1">
      <alignment wrapText="1"/>
    </xf>
    <xf numFmtId="10" fontId="1" fillId="0" borderId="0" xfId="19" applyNumberFormat="1" applyFont="1" applyFill="1" applyBorder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workbookViewId="0" topLeftCell="A1">
      <selection activeCell="F25" sqref="F25"/>
    </sheetView>
  </sheetViews>
  <sheetFormatPr defaultColWidth="11.421875" defaultRowHeight="12.75"/>
  <cols>
    <col min="1" max="16384" width="11.421875" style="116" customWidth="1"/>
  </cols>
  <sheetData>
    <row r="3" ht="12.75">
      <c r="E3" s="117" t="s">
        <v>80</v>
      </c>
    </row>
    <row r="5" ht="12.75">
      <c r="C5" s="118" t="s">
        <v>81</v>
      </c>
    </row>
    <row r="8" spans="2:11" ht="12.75">
      <c r="B8" s="119" t="s">
        <v>82</v>
      </c>
      <c r="C8" s="120"/>
      <c r="D8" s="120"/>
      <c r="E8" s="120"/>
      <c r="F8" s="120"/>
      <c r="G8" s="120"/>
      <c r="H8" s="120"/>
      <c r="I8" s="120"/>
      <c r="J8" s="120"/>
      <c r="K8" s="120"/>
    </row>
    <row r="11" ht="12.75">
      <c r="B11" s="117" t="s">
        <v>83</v>
      </c>
    </row>
    <row r="12" ht="12.75">
      <c r="B12" s="117" t="s">
        <v>84</v>
      </c>
    </row>
    <row r="13" ht="12.75">
      <c r="B13" s="117"/>
    </row>
    <row r="14" ht="12.75">
      <c r="B14" s="117" t="s">
        <v>85</v>
      </c>
    </row>
    <row r="15" ht="12.75">
      <c r="B15" s="117" t="s">
        <v>86</v>
      </c>
    </row>
    <row r="16" ht="12.75">
      <c r="B16" s="117" t="s">
        <v>87</v>
      </c>
    </row>
    <row r="17" ht="12.75">
      <c r="B17" s="117" t="s">
        <v>88</v>
      </c>
    </row>
    <row r="19" ht="12.75">
      <c r="B19" s="117" t="s">
        <v>89</v>
      </c>
    </row>
    <row r="20" ht="12.75">
      <c r="B20" s="117" t="s">
        <v>90</v>
      </c>
    </row>
    <row r="21" ht="12.75">
      <c r="B21" s="117" t="s">
        <v>91</v>
      </c>
    </row>
    <row r="22" ht="12.75">
      <c r="B22" s="117"/>
    </row>
    <row r="23" ht="12.75">
      <c r="B23" s="117" t="s">
        <v>92</v>
      </c>
    </row>
    <row r="24" ht="12.75">
      <c r="B24" s="117"/>
    </row>
    <row r="25" ht="12.75">
      <c r="B25" s="117" t="s">
        <v>93</v>
      </c>
    </row>
    <row r="26" ht="12.75">
      <c r="B26" s="117" t="s">
        <v>94</v>
      </c>
    </row>
    <row r="27" ht="12.75">
      <c r="B27" s="117" t="s">
        <v>95</v>
      </c>
    </row>
    <row r="28" ht="12.75">
      <c r="B28" s="117" t="s">
        <v>96</v>
      </c>
    </row>
    <row r="29" ht="12.75">
      <c r="B29" s="117"/>
    </row>
    <row r="30" ht="12.75">
      <c r="B30" s="117" t="s">
        <v>97</v>
      </c>
    </row>
    <row r="31" ht="12.75">
      <c r="B31" s="117"/>
    </row>
    <row r="32" ht="12.75">
      <c r="B32" s="117"/>
    </row>
  </sheetData>
  <sheetProtection sheet="1" objects="1" scenarios="1"/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79"/>
  <sheetViews>
    <sheetView workbookViewId="0" topLeftCell="A1">
      <selection activeCell="E43" sqref="E43"/>
    </sheetView>
  </sheetViews>
  <sheetFormatPr defaultColWidth="11.421875" defaultRowHeight="12.75"/>
  <cols>
    <col min="1" max="1" width="21.140625" style="0" customWidth="1"/>
    <col min="2" max="2" width="15.8515625" style="0" customWidth="1"/>
    <col min="3" max="3" width="17.8515625" style="0" customWidth="1"/>
    <col min="4" max="4" width="18.421875" style="0" customWidth="1"/>
    <col min="5" max="6" width="20.57421875" style="0" customWidth="1"/>
    <col min="7" max="7" width="21.8515625" style="1" customWidth="1"/>
    <col min="8" max="8" width="25.57421875" style="1" customWidth="1"/>
    <col min="9" max="9" width="20.421875" style="0" customWidth="1"/>
    <col min="10" max="10" width="17.8515625" style="0" customWidth="1"/>
    <col min="12" max="12" width="19.28125" style="0" customWidth="1"/>
  </cols>
  <sheetData>
    <row r="1" ht="13.5" thickBot="1"/>
    <row r="2" spans="1:5" ht="26.25" thickBot="1">
      <c r="A2" s="2" t="s">
        <v>0</v>
      </c>
      <c r="B2" s="3"/>
      <c r="C2" s="3"/>
      <c r="D2" s="4"/>
      <c r="E2" s="5" t="s">
        <v>1</v>
      </c>
    </row>
    <row r="3" ht="13.5" thickBot="1"/>
    <row r="4" spans="1:4" ht="13.5" thickBot="1">
      <c r="A4" s="6" t="s">
        <v>2</v>
      </c>
      <c r="D4" s="7"/>
    </row>
    <row r="5" spans="4:18" ht="13.5" hidden="1" thickBot="1">
      <c r="D5" s="7"/>
      <c r="M5" t="s">
        <v>3</v>
      </c>
      <c r="N5" t="s">
        <v>4</v>
      </c>
      <c r="O5" t="s">
        <v>5</v>
      </c>
      <c r="P5" t="s">
        <v>6</v>
      </c>
      <c r="Q5" t="s">
        <v>7</v>
      </c>
      <c r="R5" t="s">
        <v>8</v>
      </c>
    </row>
    <row r="6" spans="4:18" ht="13.5" hidden="1" thickBot="1">
      <c r="D6" s="7"/>
      <c r="G6" s="1" t="s">
        <v>9</v>
      </c>
      <c r="J6" t="s">
        <v>10</v>
      </c>
      <c r="K6" t="s">
        <v>11</v>
      </c>
      <c r="L6" t="s">
        <v>12</v>
      </c>
      <c r="M6" s="8">
        <f>N6*12</f>
        <v>0.09568968514684517</v>
      </c>
      <c r="N6" s="9">
        <f>(1+R6)^(1/12)-1</f>
        <v>0.007974140428903764</v>
      </c>
      <c r="O6" s="9">
        <f>(1+R6)^(1/6)-1</f>
        <v>0.016011867773387367</v>
      </c>
      <c r="P6" s="9">
        <f>(1+R6)^(1/4)-1</f>
        <v>0.02411368908444511</v>
      </c>
      <c r="Q6" s="9">
        <f>(1+R6)^(1/2)-1</f>
        <v>0.04880884817015163</v>
      </c>
      <c r="R6" s="10">
        <f>B52</f>
        <v>0.1</v>
      </c>
    </row>
    <row r="7" spans="4:18" ht="13.5" hidden="1" thickBot="1">
      <c r="D7" s="7"/>
      <c r="G7" s="1" t="s">
        <v>13</v>
      </c>
      <c r="H7" s="1" t="s">
        <v>14</v>
      </c>
      <c r="J7" t="s">
        <v>15</v>
      </c>
      <c r="K7" t="s">
        <v>16</v>
      </c>
      <c r="L7" t="s">
        <v>17</v>
      </c>
      <c r="M7" s="11">
        <f>O7*6</f>
        <v>0.0960712066403242</v>
      </c>
      <c r="N7" s="9">
        <f aca="true" t="shared" si="0" ref="N7:N15">(1+R7)^(1/12)-1</f>
        <v>0.007974140428903764</v>
      </c>
      <c r="O7" s="9">
        <f aca="true" t="shared" si="1" ref="O7:O15">(1+R7)^(1/6)-1</f>
        <v>0.016011867773387367</v>
      </c>
      <c r="P7" s="9">
        <f aca="true" t="shared" si="2" ref="P7:P15">(1+R7)^(1/4)-1</f>
        <v>0.02411368908444511</v>
      </c>
      <c r="Q7" s="9">
        <f aca="true" t="shared" si="3" ref="Q7:Q15">(1+R7)^(1/2)-1</f>
        <v>0.04880884817015163</v>
      </c>
      <c r="R7" s="9">
        <f>R6</f>
        <v>0.1</v>
      </c>
    </row>
    <row r="8" spans="4:18" ht="13.5" hidden="1" thickBot="1">
      <c r="D8" s="7"/>
      <c r="H8" s="1" t="s">
        <v>14</v>
      </c>
      <c r="J8" t="s">
        <v>18</v>
      </c>
      <c r="L8" t="s">
        <v>19</v>
      </c>
      <c r="M8" s="11">
        <f>P8*4</f>
        <v>0.09645475633778045</v>
      </c>
      <c r="N8" s="9">
        <f t="shared" si="0"/>
        <v>0.007974140428903764</v>
      </c>
      <c r="O8" s="9">
        <f t="shared" si="1"/>
        <v>0.016011867773387367</v>
      </c>
      <c r="P8" s="9">
        <f t="shared" si="2"/>
        <v>0.02411368908444511</v>
      </c>
      <c r="Q8" s="9">
        <f t="shared" si="3"/>
        <v>0.04880884817015163</v>
      </c>
      <c r="R8" s="9">
        <f aca="true" t="shared" si="4" ref="R8:R15">R7</f>
        <v>0.1</v>
      </c>
    </row>
    <row r="9" spans="4:18" ht="13.5" hidden="1" thickBot="1">
      <c r="D9" s="7"/>
      <c r="J9" t="s">
        <v>20</v>
      </c>
      <c r="L9" t="s">
        <v>21</v>
      </c>
      <c r="M9" s="11">
        <f>Q9*2</f>
        <v>0.09761769634030326</v>
      </c>
      <c r="N9" s="9">
        <f t="shared" si="0"/>
        <v>0.007974140428903764</v>
      </c>
      <c r="O9" s="9">
        <f t="shared" si="1"/>
        <v>0.016011867773387367</v>
      </c>
      <c r="P9" s="9">
        <f t="shared" si="2"/>
        <v>0.02411368908444511</v>
      </c>
      <c r="Q9" s="9">
        <f t="shared" si="3"/>
        <v>0.04880884817015163</v>
      </c>
      <c r="R9" s="9">
        <f t="shared" si="4"/>
        <v>0.1</v>
      </c>
    </row>
    <row r="10" spans="4:18" ht="13.5" hidden="1" thickBot="1">
      <c r="D10" s="7"/>
      <c r="J10" t="s">
        <v>22</v>
      </c>
      <c r="L10" t="s">
        <v>8</v>
      </c>
      <c r="M10" s="11">
        <f>R10</f>
        <v>0.1</v>
      </c>
      <c r="N10" s="9">
        <f t="shared" si="0"/>
        <v>0.007974140428903764</v>
      </c>
      <c r="O10" s="9">
        <f t="shared" si="1"/>
        <v>0.016011867773387367</v>
      </c>
      <c r="P10" s="9">
        <f t="shared" si="2"/>
        <v>0.02411368908444511</v>
      </c>
      <c r="Q10" s="9">
        <f t="shared" si="3"/>
        <v>0.04880884817015163</v>
      </c>
      <c r="R10" s="9">
        <f t="shared" si="4"/>
        <v>0.1</v>
      </c>
    </row>
    <row r="11" spans="4:18" ht="13.5" hidden="1" thickBot="1">
      <c r="D11" s="7"/>
      <c r="L11" t="s">
        <v>23</v>
      </c>
      <c r="M11" s="8">
        <f>(((1+R11)^(1/12)-1)/(1+((1+R11)^(1/12)-1)))</f>
        <v>0.00791105655300907</v>
      </c>
      <c r="N11" s="9">
        <f t="shared" si="0"/>
        <v>0.007974140428903764</v>
      </c>
      <c r="O11" s="9">
        <f t="shared" si="1"/>
        <v>0.016011867773387367</v>
      </c>
      <c r="P11" s="9">
        <f t="shared" si="2"/>
        <v>0.02411368908444511</v>
      </c>
      <c r="Q11" s="9">
        <f t="shared" si="3"/>
        <v>0.04880884817015163</v>
      </c>
      <c r="R11" s="9">
        <f t="shared" si="4"/>
        <v>0.1</v>
      </c>
    </row>
    <row r="12" spans="1:18" ht="13.5" hidden="1" thickBot="1">
      <c r="A12" s="7"/>
      <c r="B12" s="7"/>
      <c r="C12" s="7"/>
      <c r="D12" s="7"/>
      <c r="E12" s="7"/>
      <c r="F12" s="7"/>
      <c r="G12" s="12"/>
      <c r="H12" s="12"/>
      <c r="L12" t="s">
        <v>24</v>
      </c>
      <c r="M12" s="8">
        <f>(((1+R12)^(1/6)-1)/(1+((1+R12)^(1/6)-1)))</f>
        <v>0.015759528290233197</v>
      </c>
      <c r="N12" s="9">
        <f t="shared" si="0"/>
        <v>0.007974140428903764</v>
      </c>
      <c r="O12" s="9">
        <f t="shared" si="1"/>
        <v>0.016011867773387367</v>
      </c>
      <c r="P12" s="9">
        <f t="shared" si="2"/>
        <v>0.02411368908444511</v>
      </c>
      <c r="Q12" s="9">
        <f t="shared" si="3"/>
        <v>0.04880884817015163</v>
      </c>
      <c r="R12" s="9">
        <f t="shared" si="4"/>
        <v>0.1</v>
      </c>
    </row>
    <row r="13" spans="1:18" ht="13.5" hidden="1" thickBot="1">
      <c r="A13" s="7"/>
      <c r="B13" s="13"/>
      <c r="C13" s="14"/>
      <c r="D13" s="15"/>
      <c r="E13" s="7"/>
      <c r="F13" s="7"/>
      <c r="G13" s="16"/>
      <c r="H13" s="17"/>
      <c r="L13" t="s">
        <v>25</v>
      </c>
      <c r="M13" s="8">
        <f>(((1+R13)^(1/4)-1)/(1+((1+R13)^(1/4)-1)))</f>
        <v>0.023545910323689436</v>
      </c>
      <c r="N13" s="9">
        <f t="shared" si="0"/>
        <v>0.007974140428903764</v>
      </c>
      <c r="O13" s="9">
        <f t="shared" si="1"/>
        <v>0.016011867773387367</v>
      </c>
      <c r="P13" s="9">
        <f t="shared" si="2"/>
        <v>0.02411368908444511</v>
      </c>
      <c r="Q13" s="9">
        <f t="shared" si="3"/>
        <v>0.04880884817015163</v>
      </c>
      <c r="R13" s="9">
        <f t="shared" si="4"/>
        <v>0.1</v>
      </c>
    </row>
    <row r="14" spans="1:18" ht="13.5" hidden="1" thickBot="1">
      <c r="A14" s="7"/>
      <c r="B14" s="13"/>
      <c r="C14" s="14"/>
      <c r="D14" s="15"/>
      <c r="E14" s="7"/>
      <c r="F14" s="7"/>
      <c r="G14" s="16"/>
      <c r="H14" s="17"/>
      <c r="L14" t="s">
        <v>26</v>
      </c>
      <c r="M14" s="8">
        <f>(((1+R14)^(1/2)-1)/(1+((1+R14)^(1/2)-1)))</f>
        <v>0.04653741075440776</v>
      </c>
      <c r="N14" s="9">
        <f t="shared" si="0"/>
        <v>0.007974140428903764</v>
      </c>
      <c r="O14" s="9">
        <f t="shared" si="1"/>
        <v>0.016011867773387367</v>
      </c>
      <c r="P14" s="9">
        <f t="shared" si="2"/>
        <v>0.02411368908444511</v>
      </c>
      <c r="Q14" s="9">
        <f t="shared" si="3"/>
        <v>0.04880884817015163</v>
      </c>
      <c r="R14" s="9">
        <f t="shared" si="4"/>
        <v>0.1</v>
      </c>
    </row>
    <row r="15" spans="1:18" ht="13.5" hidden="1" thickBot="1">
      <c r="A15" s="7"/>
      <c r="B15" s="13"/>
      <c r="C15" s="14"/>
      <c r="D15" s="15"/>
      <c r="E15" s="7"/>
      <c r="F15" s="7"/>
      <c r="G15" s="16"/>
      <c r="H15" s="17"/>
      <c r="L15" t="s">
        <v>27</v>
      </c>
      <c r="M15" s="8">
        <f>(((1+R15)^(1/1)-1)/(1+((1+R15)^(1/1)-1)))</f>
        <v>0.09090909090909098</v>
      </c>
      <c r="N15" s="9">
        <f t="shared" si="0"/>
        <v>0.007974140428903764</v>
      </c>
      <c r="O15" s="9">
        <f t="shared" si="1"/>
        <v>0.016011867773387367</v>
      </c>
      <c r="P15" s="9">
        <f t="shared" si="2"/>
        <v>0.02411368908444511</v>
      </c>
      <c r="Q15" s="9">
        <f t="shared" si="3"/>
        <v>0.04880884817015163</v>
      </c>
      <c r="R15" s="9">
        <f t="shared" si="4"/>
        <v>0.1</v>
      </c>
    </row>
    <row r="16" spans="1:8" ht="13.5" hidden="1" thickBot="1">
      <c r="A16" s="7"/>
      <c r="B16" s="13"/>
      <c r="C16" s="14"/>
      <c r="D16" s="15"/>
      <c r="E16" s="7"/>
      <c r="F16" s="7"/>
      <c r="G16" s="16"/>
      <c r="H16" s="17"/>
    </row>
    <row r="17" spans="1:8" ht="13.5" hidden="1" thickBot="1">
      <c r="A17" s="7"/>
      <c r="B17" s="13"/>
      <c r="C17" s="14"/>
      <c r="D17" s="15"/>
      <c r="E17" s="7"/>
      <c r="F17" s="7"/>
      <c r="G17" s="16"/>
      <c r="H17" s="17"/>
    </row>
    <row r="18" spans="4:18" ht="13.5" hidden="1" thickBot="1">
      <c r="D18" s="7"/>
      <c r="M18" t="s">
        <v>3</v>
      </c>
      <c r="N18" t="s">
        <v>4</v>
      </c>
      <c r="O18" t="s">
        <v>5</v>
      </c>
      <c r="P18" t="s">
        <v>6</v>
      </c>
      <c r="Q18" t="s">
        <v>7</v>
      </c>
      <c r="R18" t="s">
        <v>8</v>
      </c>
    </row>
    <row r="19" spans="4:18" ht="13.5" hidden="1" thickBot="1">
      <c r="D19" s="7"/>
      <c r="L19" t="s">
        <v>12</v>
      </c>
      <c r="M19" s="18">
        <f>C54</f>
        <v>0.08354591032368944</v>
      </c>
      <c r="N19" s="9">
        <f>M19/12</f>
        <v>0.0069621591936407864</v>
      </c>
      <c r="O19" s="9">
        <f>(1+R19)^(1/6)-1</f>
        <v>0.013972790047919403</v>
      </c>
      <c r="P19" s="9">
        <f>(1+R19)^(1/4)-1</f>
        <v>0.02103223003025323</v>
      </c>
      <c r="Q19" s="9">
        <f>(1+R19)^(1/2)-1</f>
        <v>0.04250681476055207</v>
      </c>
      <c r="R19" s="9">
        <f>(1+N19)^12-1</f>
        <v>0.08682045882219191</v>
      </c>
    </row>
    <row r="20" spans="4:18" ht="13.5" hidden="1" thickBot="1">
      <c r="D20" s="7"/>
      <c r="L20" t="s">
        <v>17</v>
      </c>
      <c r="M20" s="11">
        <f>M19</f>
        <v>0.08354591032368944</v>
      </c>
      <c r="N20" s="9">
        <f>(1+R20)^(1/12)-1</f>
        <v>0.006938090642757189</v>
      </c>
      <c r="O20" s="9">
        <f>M20/6</f>
        <v>0.013924318387281573</v>
      </c>
      <c r="P20" s="9">
        <f>(1+R20)^(1/4)-1</f>
        <v>0.02095901721314819</v>
      </c>
      <c r="Q20" s="9">
        <f aca="true" t="shared" si="5" ref="Q20:Q28">(1+R20)^(1/2)-1</f>
        <v>0.04235731482883742</v>
      </c>
      <c r="R20" s="9">
        <f>(1+O20)^6-1</f>
        <v>0.08650877177718419</v>
      </c>
    </row>
    <row r="21" spans="4:18" ht="13.5" hidden="1" thickBot="1">
      <c r="D21" s="7"/>
      <c r="L21" t="s">
        <v>19</v>
      </c>
      <c r="M21" s="11">
        <f aca="true" t="shared" si="6" ref="M21:M28">M20</f>
        <v>0.08354591032368944</v>
      </c>
      <c r="N21" s="9">
        <f>(1+R21)^(1/12)-1</f>
        <v>0.006914242265065873</v>
      </c>
      <c r="O21" s="9">
        <f>(1+R21)^(1/6)-1</f>
        <v>0.013876291276232022</v>
      </c>
      <c r="P21" s="9">
        <f>M21/4</f>
        <v>0.02088647758092236</v>
      </c>
      <c r="Q21" s="9">
        <f t="shared" si="5"/>
        <v>0.04220920010758311</v>
      </c>
      <c r="R21" s="9">
        <f>(1+P21)^4-1</f>
        <v>0.08620001678888811</v>
      </c>
    </row>
    <row r="22" spans="4:18" ht="13.5" hidden="1" thickBot="1">
      <c r="D22" s="7"/>
      <c r="L22" t="s">
        <v>21</v>
      </c>
      <c r="M22" s="11">
        <f t="shared" si="6"/>
        <v>0.08354591032368944</v>
      </c>
      <c r="N22" s="9">
        <f>(1+R22)^(1/12)-1</f>
        <v>0.006843984796789826</v>
      </c>
      <c r="O22" s="9">
        <f aca="true" t="shared" si="7" ref="O22:O28">(1+R22)^(1/6)-1</f>
        <v>0.013734809721478447</v>
      </c>
      <c r="P22" s="9">
        <f>(1+R22)^(1/4)-1</f>
        <v>0.02067279534718902</v>
      </c>
      <c r="Q22" s="9">
        <f>M22/2</f>
        <v>0.04177295516184472</v>
      </c>
      <c r="R22" s="9">
        <f>(1+Q22)^2-1</f>
        <v>0.0852908901066427</v>
      </c>
    </row>
    <row r="23" spans="4:18" ht="13.5" hidden="1" thickBot="1">
      <c r="D23" s="7"/>
      <c r="L23" t="s">
        <v>8</v>
      </c>
      <c r="M23" s="11">
        <f t="shared" si="6"/>
        <v>0.08354591032368944</v>
      </c>
      <c r="N23" s="9">
        <f>(1+R23)^(1/12)-1</f>
        <v>0.006708981171432038</v>
      </c>
      <c r="O23" s="9">
        <f t="shared" si="7"/>
        <v>0.013462972771222548</v>
      </c>
      <c r="P23" s="9">
        <f aca="true" t="shared" si="8" ref="P23:P28">(1+R23)^(1/4)-1</f>
        <v>0.02026227677348813</v>
      </c>
      <c r="Q23" s="9">
        <f t="shared" si="5"/>
        <v>0.04093511340702194</v>
      </c>
      <c r="R23" s="9">
        <f>M23</f>
        <v>0.08354591032368944</v>
      </c>
    </row>
    <row r="24" spans="4:18" ht="13.5" hidden="1" thickBot="1">
      <c r="D24" s="7"/>
      <c r="L24" t="s">
        <v>23</v>
      </c>
      <c r="M24" s="11">
        <f t="shared" si="6"/>
        <v>0.08354591032368944</v>
      </c>
      <c r="N24" s="9">
        <f>((M24/12)/(1-(M24/12)))</f>
        <v>0.007010970687670296</v>
      </c>
      <c r="O24" s="9">
        <f t="shared" si="7"/>
        <v>0.014071095085323782</v>
      </c>
      <c r="P24" s="9">
        <f t="shared" si="8"/>
        <v>0.02118071780818065</v>
      </c>
      <c r="Q24" s="9">
        <f t="shared" si="5"/>
        <v>0.042810058423231157</v>
      </c>
      <c r="R24" s="9">
        <f>(1+N24)^12-1</f>
        <v>0.08745281794866266</v>
      </c>
    </row>
    <row r="25" spans="4:18" ht="13.5" hidden="1" thickBot="1">
      <c r="D25" s="7"/>
      <c r="L25" t="s">
        <v>24</v>
      </c>
      <c r="M25" s="11">
        <f t="shared" si="6"/>
        <v>0.08354591032368944</v>
      </c>
      <c r="N25" s="9">
        <f>(1+R25)^(1/12)-1</f>
        <v>0.00703572076269432</v>
      </c>
      <c r="O25" s="9">
        <f>((M25/6)/(1-(M25/6)))</f>
        <v>0.014120942892038944</v>
      </c>
      <c r="P25" s="9">
        <f t="shared" si="8"/>
        <v>0.021256014665827605</v>
      </c>
      <c r="Q25" s="9">
        <f t="shared" si="5"/>
        <v>0.04296384749112914</v>
      </c>
      <c r="R25" s="9">
        <f>(1+O25)^6-1</f>
        <v>0.08777358717349926</v>
      </c>
    </row>
    <row r="26" spans="4:18" ht="13.5" hidden="1" thickBot="1">
      <c r="D26" s="7"/>
      <c r="L26" t="s">
        <v>25</v>
      </c>
      <c r="M26" s="11">
        <f t="shared" si="6"/>
        <v>0.08354591032368944</v>
      </c>
      <c r="N26" s="9">
        <f>(1+R26)^(1/12)-1</f>
        <v>0.007060705279290813</v>
      </c>
      <c r="O26" s="9">
        <f t="shared" si="7"/>
        <v>0.014171264117622817</v>
      </c>
      <c r="P26" s="9">
        <f>((M26/4)/(1-(M26/4)))</f>
        <v>0.021332028516283307</v>
      </c>
      <c r="Q26" s="9">
        <f t="shared" si="5"/>
        <v>0.043119112473186005</v>
      </c>
      <c r="R26" s="9">
        <f>(1+P26)^4-1</f>
        <v>0.08809748280684726</v>
      </c>
    </row>
    <row r="27" spans="4:18" ht="13.5" hidden="1" thickBot="1">
      <c r="D27" s="7"/>
      <c r="L27" t="s">
        <v>26</v>
      </c>
      <c r="M27" s="11">
        <f t="shared" si="6"/>
        <v>0.08354591032368944</v>
      </c>
      <c r="N27" s="9">
        <f>(1+R27)^(1/12)-1</f>
        <v>0.007137103635936004</v>
      </c>
      <c r="O27" s="9">
        <f t="shared" si="7"/>
        <v>0.01432514552018227</v>
      </c>
      <c r="P27" s="9">
        <f t="shared" si="8"/>
        <v>0.021564489204295878</v>
      </c>
      <c r="Q27" s="9">
        <f>((M27/2)/(1-(M27/2)))</f>
        <v>0.043594005603233815</v>
      </c>
      <c r="R27" s="9">
        <f>(1+Q27)^2-1</f>
        <v>0.0890884485310024</v>
      </c>
    </row>
    <row r="28" spans="4:18" ht="13.5" hidden="1" thickBot="1">
      <c r="D28" s="7"/>
      <c r="L28" t="s">
        <v>27</v>
      </c>
      <c r="M28" s="11">
        <f t="shared" si="6"/>
        <v>0.08354591032368944</v>
      </c>
      <c r="N28" s="9">
        <f>(1+R28)^(1/12)-1</f>
        <v>0.007296768121446862</v>
      </c>
      <c r="O28" s="9">
        <f t="shared" si="7"/>
        <v>0.014646779067911675</v>
      </c>
      <c r="P28" s="9">
        <f t="shared" si="8"/>
        <v>0.02205042133994306</v>
      </c>
      <c r="Q28" s="9">
        <f t="shared" si="5"/>
        <v>0.04458706376115518</v>
      </c>
      <c r="R28" s="9">
        <f>(M28/(1-M28))</f>
        <v>0.09116213377715152</v>
      </c>
    </row>
    <row r="29" spans="4:18" ht="13.5" hidden="1" thickBot="1">
      <c r="D29" s="7"/>
      <c r="M29" s="11"/>
      <c r="N29" s="9"/>
      <c r="O29" s="9"/>
      <c r="P29" s="9"/>
      <c r="Q29" s="9"/>
      <c r="R29" s="9"/>
    </row>
    <row r="30" spans="4:18" ht="13.5" hidden="1" thickBot="1">
      <c r="D30" s="7"/>
      <c r="M30" s="11"/>
      <c r="N30" s="9"/>
      <c r="O30" s="9"/>
      <c r="P30" s="9"/>
      <c r="Q30" s="9"/>
      <c r="R30" s="9"/>
    </row>
    <row r="31" spans="4:18" ht="13.5" hidden="1" thickBot="1">
      <c r="D31" s="7"/>
      <c r="M31" s="11"/>
      <c r="N31" s="9"/>
      <c r="O31" s="9"/>
      <c r="P31" s="9"/>
      <c r="Q31" s="9"/>
      <c r="R31" s="9"/>
    </row>
    <row r="32" spans="4:18" ht="13.5" hidden="1" thickBot="1">
      <c r="D32" s="7"/>
      <c r="L32" t="str">
        <f>J6</f>
        <v>MENSUAL</v>
      </c>
      <c r="M32" s="11">
        <f>(1+$C$55)^(1/12)-1</f>
        <v>0.007060705279290813</v>
      </c>
      <c r="N32" s="9"/>
      <c r="O32" s="9"/>
      <c r="P32" s="9"/>
      <c r="Q32" s="9"/>
      <c r="R32" s="9"/>
    </row>
    <row r="33" spans="4:18" ht="13.5" hidden="1" thickBot="1">
      <c r="D33" s="7"/>
      <c r="L33" t="str">
        <f>J7</f>
        <v>BIMENSUAL</v>
      </c>
      <c r="M33" s="11">
        <f>(1+$C$55)^(1/6)-1</f>
        <v>0.014171264117622817</v>
      </c>
      <c r="N33" s="9"/>
      <c r="O33" s="9"/>
      <c r="P33" s="9"/>
      <c r="Q33" s="9"/>
      <c r="R33" s="9"/>
    </row>
    <row r="34" spans="4:18" ht="13.5" hidden="1" thickBot="1">
      <c r="D34" s="7"/>
      <c r="L34" t="str">
        <f>J8</f>
        <v>TRIMESTRAL</v>
      </c>
      <c r="M34" s="11">
        <f>(1+$C$55)^(1/4)-1</f>
        <v>0.02133202851628324</v>
      </c>
      <c r="N34" s="9"/>
      <c r="O34" s="9"/>
      <c r="P34" s="9"/>
      <c r="Q34" s="9"/>
      <c r="R34" s="9"/>
    </row>
    <row r="35" spans="2:18" ht="13.5" hidden="1" thickBot="1">
      <c r="B35" s="8"/>
      <c r="C35" s="9"/>
      <c r="D35" s="19"/>
      <c r="E35" s="9"/>
      <c r="F35" s="9"/>
      <c r="G35" s="20"/>
      <c r="H35" s="21"/>
      <c r="L35" t="str">
        <f>J9</f>
        <v>SEMESTRAL</v>
      </c>
      <c r="M35" s="11">
        <f>(1+$C$55)^(1/2)-1</f>
        <v>0.043119112473186005</v>
      </c>
      <c r="N35" s="9"/>
      <c r="O35" s="9"/>
      <c r="P35" s="9"/>
      <c r="Q35" s="9"/>
      <c r="R35" s="9"/>
    </row>
    <row r="36" spans="2:18" ht="14.25" customHeight="1" hidden="1">
      <c r="B36" s="11"/>
      <c r="C36" s="9"/>
      <c r="D36" s="19"/>
      <c r="E36" s="9"/>
      <c r="F36" s="9"/>
      <c r="G36" s="20"/>
      <c r="H36" s="20"/>
      <c r="L36" t="str">
        <f>J10</f>
        <v>ANNUAL</v>
      </c>
      <c r="M36" s="11">
        <f>(1+$C$55)^(1)-1</f>
        <v>0.08809748280684726</v>
      </c>
      <c r="N36" s="9"/>
      <c r="O36" s="9"/>
      <c r="P36" s="9"/>
      <c r="Q36" s="9"/>
      <c r="R36" s="9"/>
    </row>
    <row r="37" spans="2:4" ht="13.5" thickBot="1">
      <c r="B37" s="22" t="s">
        <v>28</v>
      </c>
      <c r="C37" s="22" t="s">
        <v>29</v>
      </c>
      <c r="D37" s="23"/>
    </row>
    <row r="38" spans="1:6" ht="13.5" thickBot="1">
      <c r="A38" s="24" t="s">
        <v>30</v>
      </c>
      <c r="B38" s="25">
        <v>400000000</v>
      </c>
      <c r="C38" s="26">
        <f>B61</f>
        <v>0.05648515594082415</v>
      </c>
      <c r="D38" s="23"/>
      <c r="E38" s="27" t="s">
        <v>31</v>
      </c>
      <c r="F38" s="28">
        <v>0.35</v>
      </c>
    </row>
    <row r="39" spans="1:4" ht="13.5" thickBot="1">
      <c r="A39" s="24" t="s">
        <v>32</v>
      </c>
      <c r="B39" s="29">
        <v>200000000</v>
      </c>
      <c r="C39" s="26">
        <f>B112</f>
        <v>0.042555933671684976</v>
      </c>
      <c r="D39" s="23"/>
    </row>
    <row r="40" spans="1:4" ht="13.5" thickBot="1">
      <c r="A40" s="24" t="s">
        <v>33</v>
      </c>
      <c r="B40" s="30">
        <v>300000000</v>
      </c>
      <c r="C40" s="26">
        <f>B163</f>
        <v>0.11726494926593944</v>
      </c>
      <c r="D40" s="23"/>
    </row>
    <row r="41" spans="1:4" ht="26.25" thickBot="1">
      <c r="A41" s="24" t="s">
        <v>34</v>
      </c>
      <c r="B41" s="29">
        <v>200000000</v>
      </c>
      <c r="C41" s="26">
        <f>B441</f>
        <v>0.11907660959115596</v>
      </c>
      <c r="D41" s="23"/>
    </row>
    <row r="42" spans="1:4" ht="26.25" thickBot="1">
      <c r="A42" s="24" t="s">
        <v>35</v>
      </c>
      <c r="B42" s="30">
        <v>300000000</v>
      </c>
      <c r="C42" s="26">
        <f>H58</f>
        <v>0.38</v>
      </c>
      <c r="D42" s="23"/>
    </row>
    <row r="43" spans="1:4" ht="39" thickBot="1">
      <c r="A43" s="24" t="s">
        <v>36</v>
      </c>
      <c r="B43" s="29">
        <v>400000000</v>
      </c>
      <c r="C43" s="26">
        <f>H102</f>
        <v>0.21045918367346939</v>
      </c>
      <c r="D43" s="23"/>
    </row>
    <row r="44" spans="1:4" ht="13.5" thickBot="1">
      <c r="A44" s="24" t="s">
        <v>37</v>
      </c>
      <c r="B44" s="31" t="s">
        <v>38</v>
      </c>
      <c r="C44" s="32">
        <f>H150</f>
        <v>0.4</v>
      </c>
      <c r="D44" s="23"/>
    </row>
    <row r="45" ht="12.75">
      <c r="A45" s="1"/>
    </row>
    <row r="46" ht="12.75">
      <c r="A46" s="1"/>
    </row>
    <row r="47" ht="13.5" thickBot="1">
      <c r="A47" s="1"/>
    </row>
    <row r="48" spans="1:8" ht="26.25" customHeight="1" thickBot="1">
      <c r="A48" s="33" t="str">
        <f>A38</f>
        <v>BANCO 1</v>
      </c>
      <c r="B48" s="34"/>
      <c r="C48" s="34"/>
      <c r="D48" s="35"/>
      <c r="G48" s="33" t="s">
        <v>35</v>
      </c>
      <c r="H48" s="36"/>
    </row>
    <row r="49" spans="1:8" ht="13.5" thickBot="1">
      <c r="A49" s="37" t="s">
        <v>28</v>
      </c>
      <c r="B49" s="38">
        <f>B38</f>
        <v>400000000</v>
      </c>
      <c r="C49" s="7"/>
      <c r="D49" s="39"/>
      <c r="G49" s="40"/>
      <c r="H49" s="39"/>
    </row>
    <row r="50" spans="1:8" ht="13.5" thickBot="1">
      <c r="A50" s="41" t="s">
        <v>39</v>
      </c>
      <c r="B50" s="38">
        <f>B49/(1-B59)</f>
        <v>400000000</v>
      </c>
      <c r="C50" s="7"/>
      <c r="D50" s="39"/>
      <c r="G50" s="41" t="s">
        <v>28</v>
      </c>
      <c r="H50" s="42">
        <f>B42</f>
        <v>300000000</v>
      </c>
    </row>
    <row r="51" spans="1:8" ht="13.5" thickBot="1">
      <c r="A51" s="41" t="s">
        <v>40</v>
      </c>
      <c r="B51" s="121" t="s">
        <v>13</v>
      </c>
      <c r="C51" s="44" t="s">
        <v>41</v>
      </c>
      <c r="D51" s="122" t="s">
        <v>25</v>
      </c>
      <c r="G51" s="41" t="s">
        <v>42</v>
      </c>
      <c r="H51" s="45">
        <v>300</v>
      </c>
    </row>
    <row r="52" spans="1:8" ht="26.25" thickBot="1">
      <c r="A52" s="41" t="s">
        <v>43</v>
      </c>
      <c r="B52" s="28">
        <v>0.1</v>
      </c>
      <c r="C52" s="46"/>
      <c r="D52" s="47">
        <v>0.06</v>
      </c>
      <c r="G52" s="41" t="s">
        <v>44</v>
      </c>
      <c r="H52" s="28">
        <v>0.15</v>
      </c>
    </row>
    <row r="53" spans="1:8" ht="13.5" hidden="1" thickBot="1">
      <c r="A53" s="41"/>
      <c r="B53" s="48">
        <f>VLOOKUP(D51,L5:R15,2,0)</f>
        <v>0.023545910323689436</v>
      </c>
      <c r="C53" s="46"/>
      <c r="D53" s="49">
        <f>D52</f>
        <v>0.06</v>
      </c>
      <c r="G53" s="41" t="s">
        <v>45</v>
      </c>
      <c r="H53" s="50">
        <v>1500</v>
      </c>
    </row>
    <row r="54" spans="1:8" ht="13.5" hidden="1" thickBot="1">
      <c r="A54" s="41"/>
      <c r="B54" s="23"/>
      <c r="C54" s="51">
        <f>IF(B51="efectiva",B52,B53+D53)</f>
        <v>0.08354591032368944</v>
      </c>
      <c r="D54" s="52" t="str">
        <f>D51</f>
        <v>ATA</v>
      </c>
      <c r="G54" s="41"/>
      <c r="H54" s="53"/>
    </row>
    <row r="55" spans="1:8" ht="13.5" hidden="1" thickBot="1">
      <c r="A55" s="41"/>
      <c r="B55" s="23"/>
      <c r="C55" s="54">
        <f>IF(B51="efectiva",C54,VLOOKUP(D54,L18:R28,7,0))</f>
        <v>0.08809748280684726</v>
      </c>
      <c r="D55" s="52" t="s">
        <v>8</v>
      </c>
      <c r="G55" s="41" t="s">
        <v>46</v>
      </c>
      <c r="H55" s="55">
        <f>+((H51*(1+H52))/(H53))+H52</f>
        <v>0.38</v>
      </c>
    </row>
    <row r="56" spans="1:8" ht="13.5" thickBot="1">
      <c r="A56" s="56" t="s">
        <v>47</v>
      </c>
      <c r="B56" s="57">
        <f>VLOOKUP(B57,L32:M36,2,0)</f>
        <v>0.007060705279290813</v>
      </c>
      <c r="C56" s="7"/>
      <c r="D56" s="39"/>
      <c r="G56" s="41" t="s">
        <v>48</v>
      </c>
      <c r="H56" s="58">
        <v>1500</v>
      </c>
    </row>
    <row r="57" spans="1:8" ht="13.5" thickBot="1">
      <c r="A57" s="41" t="s">
        <v>49</v>
      </c>
      <c r="B57" s="43" t="s">
        <v>10</v>
      </c>
      <c r="C57" s="7"/>
      <c r="D57" s="39"/>
      <c r="G57" s="59"/>
      <c r="H57" s="60"/>
    </row>
    <row r="58" spans="1:8" ht="13.5" thickBot="1">
      <c r="A58" s="41" t="s">
        <v>50</v>
      </c>
      <c r="B58" s="61">
        <v>60</v>
      </c>
      <c r="C58" s="6" t="s">
        <v>51</v>
      </c>
      <c r="D58" s="39"/>
      <c r="G58" s="62" t="s">
        <v>46</v>
      </c>
      <c r="H58" s="63">
        <f>IF(H56="","",(H51*(1+H52))/H56+H52)</f>
        <v>0.38</v>
      </c>
    </row>
    <row r="59" spans="1:4" ht="26.25" thickBot="1">
      <c r="A59" s="41" t="s">
        <v>52</v>
      </c>
      <c r="B59" s="64">
        <v>0</v>
      </c>
      <c r="C59" s="6" t="s">
        <v>22</v>
      </c>
      <c r="D59" s="39"/>
    </row>
    <row r="60" spans="1:8" ht="39" thickBot="1">
      <c r="A60" s="41" t="s">
        <v>53</v>
      </c>
      <c r="B60" s="64">
        <v>0</v>
      </c>
      <c r="C60" s="6" t="s">
        <v>22</v>
      </c>
      <c r="D60" s="39"/>
      <c r="G60" s="33" t="s">
        <v>54</v>
      </c>
      <c r="H60" s="4"/>
    </row>
    <row r="61" spans="1:18" ht="13.5" thickBot="1">
      <c r="A61" s="65" t="s">
        <v>55</v>
      </c>
      <c r="B61" s="66">
        <f>VLOOKUP(B57,A70:C75,3,0)</f>
        <v>0.05648515594082415</v>
      </c>
      <c r="C61" s="67"/>
      <c r="D61" s="68"/>
      <c r="G61" s="69"/>
      <c r="H61" s="39"/>
      <c r="M61" t="s">
        <v>3</v>
      </c>
      <c r="N61" t="s">
        <v>4</v>
      </c>
      <c r="O61" t="s">
        <v>5</v>
      </c>
      <c r="P61" t="s">
        <v>6</v>
      </c>
      <c r="Q61" t="s">
        <v>7</v>
      </c>
      <c r="R61" t="s">
        <v>8</v>
      </c>
    </row>
    <row r="62" spans="1:18" ht="13.5" hidden="1" thickBot="1">
      <c r="A62" s="70"/>
      <c r="G62" s="69" t="s">
        <v>56</v>
      </c>
      <c r="H62" s="71">
        <v>400000000</v>
      </c>
      <c r="J62" t="s">
        <v>10</v>
      </c>
      <c r="K62" t="s">
        <v>11</v>
      </c>
      <c r="L62" t="s">
        <v>12</v>
      </c>
      <c r="M62" s="8">
        <f>N62*12</f>
        <v>0.09568968514684517</v>
      </c>
      <c r="N62" s="9">
        <f>(1+R62)^(1/12)-1</f>
        <v>0.007974140428903764</v>
      </c>
      <c r="O62" s="9">
        <f>(1+R62)^(1/6)-1</f>
        <v>0.016011867773387367</v>
      </c>
      <c r="P62" s="9">
        <f>(1+R62)^(1/4)-1</f>
        <v>0.02411368908444511</v>
      </c>
      <c r="Q62" s="9">
        <f>(1+R62)^(1/2)-1</f>
        <v>0.04880884817015163</v>
      </c>
      <c r="R62" s="10">
        <f>B103</f>
        <v>0.1</v>
      </c>
    </row>
    <row r="63" spans="7:18" ht="13.5" hidden="1" thickBot="1">
      <c r="G63" s="69" t="s">
        <v>57</v>
      </c>
      <c r="H63" s="39">
        <v>330</v>
      </c>
      <c r="J63" t="s">
        <v>15</v>
      </c>
      <c r="K63" t="s">
        <v>16</v>
      </c>
      <c r="L63" t="s">
        <v>17</v>
      </c>
      <c r="M63" s="11">
        <f>O63*6</f>
        <v>0.0960712066403242</v>
      </c>
      <c r="N63" s="9">
        <f aca="true" t="shared" si="9" ref="N63:N71">(1+R63)^(1/12)-1</f>
        <v>0.007974140428903764</v>
      </c>
      <c r="O63" s="9">
        <f aca="true" t="shared" si="10" ref="O63:O71">(1+R63)^(1/6)-1</f>
        <v>0.016011867773387367</v>
      </c>
      <c r="P63" s="9">
        <f aca="true" t="shared" si="11" ref="P63:P71">(1+R63)^(1/4)-1</f>
        <v>0.02411368908444511</v>
      </c>
      <c r="Q63" s="9">
        <f aca="true" t="shared" si="12" ref="Q63:Q71">(1+R63)^(1/2)-1</f>
        <v>0.04880884817015163</v>
      </c>
      <c r="R63" s="9">
        <f>R62</f>
        <v>0.1</v>
      </c>
    </row>
    <row r="64" spans="7:18" ht="13.5" hidden="1" thickBot="1">
      <c r="G64" s="69" t="s">
        <v>45</v>
      </c>
      <c r="H64" s="39">
        <v>1600</v>
      </c>
      <c r="J64" t="s">
        <v>18</v>
      </c>
      <c r="L64" t="s">
        <v>19</v>
      </c>
      <c r="M64" s="11">
        <f>P64*4</f>
        <v>0.09645475633778045</v>
      </c>
      <c r="N64" s="9">
        <f t="shared" si="9"/>
        <v>0.007974140428903764</v>
      </c>
      <c r="O64" s="9">
        <f t="shared" si="10"/>
        <v>0.016011867773387367</v>
      </c>
      <c r="P64" s="9">
        <f t="shared" si="11"/>
        <v>0.02411368908444511</v>
      </c>
      <c r="Q64" s="9">
        <f t="shared" si="12"/>
        <v>0.04880884817015163</v>
      </c>
      <c r="R64" s="9">
        <f aca="true" t="shared" si="13" ref="R64:R71">R63</f>
        <v>0.1</v>
      </c>
    </row>
    <row r="65" spans="7:18" ht="13.5" hidden="1" thickBot="1">
      <c r="G65" s="69" t="s">
        <v>58</v>
      </c>
      <c r="H65" s="72">
        <v>0.02</v>
      </c>
      <c r="J65" t="s">
        <v>20</v>
      </c>
      <c r="L65" t="s">
        <v>21</v>
      </c>
      <c r="M65" s="11">
        <f>Q65*2</f>
        <v>0.09761769634030326</v>
      </c>
      <c r="N65" s="9">
        <f t="shared" si="9"/>
        <v>0.007974140428903764</v>
      </c>
      <c r="O65" s="9">
        <f t="shared" si="10"/>
        <v>0.016011867773387367</v>
      </c>
      <c r="P65" s="9">
        <f t="shared" si="11"/>
        <v>0.02411368908444511</v>
      </c>
      <c r="Q65" s="9">
        <f t="shared" si="12"/>
        <v>0.04880884817015163</v>
      </c>
      <c r="R65" s="9">
        <f t="shared" si="13"/>
        <v>0.1</v>
      </c>
    </row>
    <row r="66" spans="7:18" ht="13.5" hidden="1" thickBot="1">
      <c r="G66" s="69"/>
      <c r="H66" s="39"/>
      <c r="J66" t="s">
        <v>22</v>
      </c>
      <c r="L66" t="s">
        <v>8</v>
      </c>
      <c r="M66" s="11">
        <f>R66</f>
        <v>0.1</v>
      </c>
      <c r="N66" s="9">
        <f t="shared" si="9"/>
        <v>0.007974140428903764</v>
      </c>
      <c r="O66" s="9">
        <f t="shared" si="10"/>
        <v>0.016011867773387367</v>
      </c>
      <c r="P66" s="9">
        <f t="shared" si="11"/>
        <v>0.02411368908444511</v>
      </c>
      <c r="Q66" s="9">
        <f t="shared" si="12"/>
        <v>0.04880884817015163</v>
      </c>
      <c r="R66" s="9">
        <f t="shared" si="13"/>
        <v>0.1</v>
      </c>
    </row>
    <row r="67" spans="7:18" ht="13.5" hidden="1" thickBot="1">
      <c r="G67" s="73" t="s">
        <v>46</v>
      </c>
      <c r="H67" s="74">
        <f>+H63/(H64*(1-H65))</f>
        <v>0.21045918367346939</v>
      </c>
      <c r="L67" t="s">
        <v>23</v>
      </c>
      <c r="M67" s="8">
        <f>(((1+R67)^(1/12)-1)/(1+((1+R67)^(1/12)-1)))</f>
        <v>0.00791105655300907</v>
      </c>
      <c r="N67" s="9">
        <f t="shared" si="9"/>
        <v>0.007974140428903764</v>
      </c>
      <c r="O67" s="9">
        <f t="shared" si="10"/>
        <v>0.016011867773387367</v>
      </c>
      <c r="P67" s="9">
        <f t="shared" si="11"/>
        <v>0.02411368908444511</v>
      </c>
      <c r="Q67" s="9">
        <f t="shared" si="12"/>
        <v>0.04880884817015163</v>
      </c>
      <c r="R67" s="9">
        <f t="shared" si="13"/>
        <v>0.1</v>
      </c>
    </row>
    <row r="68" spans="1:18" ht="13.5" hidden="1" thickBot="1">
      <c r="A68" s="7"/>
      <c r="B68" s="7"/>
      <c r="C68" s="7"/>
      <c r="D68" s="7"/>
      <c r="E68" s="7"/>
      <c r="F68" s="7"/>
      <c r="G68" s="40"/>
      <c r="H68" s="75"/>
      <c r="L68" t="s">
        <v>24</v>
      </c>
      <c r="M68" s="8">
        <f>(((1+R68)^(1/6)-1)/(1+((1+R68)^(1/6)-1)))</f>
        <v>0.015759528290233197</v>
      </c>
      <c r="N68" s="9">
        <f t="shared" si="9"/>
        <v>0.007974140428903764</v>
      </c>
      <c r="O68" s="9">
        <f t="shared" si="10"/>
        <v>0.016011867773387367</v>
      </c>
      <c r="P68" s="9">
        <f t="shared" si="11"/>
        <v>0.02411368908444511</v>
      </c>
      <c r="Q68" s="9">
        <f t="shared" si="12"/>
        <v>0.04880884817015163</v>
      </c>
      <c r="R68" s="9">
        <f t="shared" si="13"/>
        <v>0.1</v>
      </c>
    </row>
    <row r="69" spans="1:18" ht="13.5" hidden="1" thickBot="1">
      <c r="A69" s="7"/>
      <c r="B69" s="13"/>
      <c r="C69" s="14"/>
      <c r="D69" s="15"/>
      <c r="E69" s="7"/>
      <c r="F69" s="7"/>
      <c r="G69" s="76"/>
      <c r="H69" s="77"/>
      <c r="L69" t="s">
        <v>25</v>
      </c>
      <c r="M69" s="8">
        <f>(((1+R69)^(1/4)-1)/(1+((1+R69)^(1/4)-1)))</f>
        <v>0.023545910323689436</v>
      </c>
      <c r="N69" s="9">
        <f t="shared" si="9"/>
        <v>0.007974140428903764</v>
      </c>
      <c r="O69" s="9">
        <f t="shared" si="10"/>
        <v>0.016011867773387367</v>
      </c>
      <c r="P69" s="9">
        <f t="shared" si="11"/>
        <v>0.02411368908444511</v>
      </c>
      <c r="Q69" s="9">
        <f t="shared" si="12"/>
        <v>0.04880884817015163</v>
      </c>
      <c r="R69" s="9">
        <f t="shared" si="13"/>
        <v>0.1</v>
      </c>
    </row>
    <row r="70" spans="1:18" ht="13.5" hidden="1" thickBot="1">
      <c r="A70" s="7"/>
      <c r="B70" s="13"/>
      <c r="C70" s="14" t="s">
        <v>22</v>
      </c>
      <c r="D70" s="15"/>
      <c r="E70" s="7"/>
      <c r="F70" s="7"/>
      <c r="G70" s="76"/>
      <c r="H70" s="77"/>
      <c r="L70" t="s">
        <v>26</v>
      </c>
      <c r="M70" s="8">
        <f>(((1+R70)^(1/2)-1)/(1+((1+R70)^(1/2)-1)))</f>
        <v>0.04653741075440776</v>
      </c>
      <c r="N70" s="9">
        <f t="shared" si="9"/>
        <v>0.007974140428903764</v>
      </c>
      <c r="O70" s="9">
        <f t="shared" si="10"/>
        <v>0.016011867773387367</v>
      </c>
      <c r="P70" s="9">
        <f t="shared" si="11"/>
        <v>0.02411368908444511</v>
      </c>
      <c r="Q70" s="9">
        <f t="shared" si="12"/>
        <v>0.04880884817015163</v>
      </c>
      <c r="R70" s="9">
        <f t="shared" si="13"/>
        <v>0.1</v>
      </c>
    </row>
    <row r="71" spans="1:18" ht="13.5" hidden="1" thickBot="1">
      <c r="A71" t="s">
        <v>10</v>
      </c>
      <c r="B71" s="78">
        <f>J247</f>
        <v>0.0045894584315390756</v>
      </c>
      <c r="C71" s="79">
        <f>(1+B71)^(12)-1</f>
        <v>0.05648515594082415</v>
      </c>
      <c r="D71" s="15"/>
      <c r="E71" s="7"/>
      <c r="F71" s="7"/>
      <c r="G71" s="76"/>
      <c r="H71" s="77"/>
      <c r="L71" t="s">
        <v>27</v>
      </c>
      <c r="M71" s="8">
        <f>(((1+R71)^(1/1)-1)/(1+((1+R71)^(1/1)-1)))</f>
        <v>0.09090909090909098</v>
      </c>
      <c r="N71" s="9">
        <f t="shared" si="9"/>
        <v>0.007974140428903764</v>
      </c>
      <c r="O71" s="9">
        <f t="shared" si="10"/>
        <v>0.016011867773387367</v>
      </c>
      <c r="P71" s="9">
        <f t="shared" si="11"/>
        <v>0.02411368908444511</v>
      </c>
      <c r="Q71" s="9">
        <f t="shared" si="12"/>
        <v>0.04880884817015163</v>
      </c>
      <c r="R71" s="9">
        <f t="shared" si="13"/>
        <v>0.1</v>
      </c>
    </row>
    <row r="72" spans="1:8" ht="13.5" hidden="1" thickBot="1">
      <c r="A72" t="s">
        <v>15</v>
      </c>
      <c r="B72" s="78">
        <f>B71</f>
        <v>0.0045894584315390756</v>
      </c>
      <c r="C72" s="79">
        <f>(1+B72)^6-1</f>
        <v>0.02785463755378559</v>
      </c>
      <c r="D72" s="15"/>
      <c r="E72" s="7"/>
      <c r="F72" s="7"/>
      <c r="G72" s="76"/>
      <c r="H72" s="77"/>
    </row>
    <row r="73" spans="1:8" ht="13.5" hidden="1" thickBot="1">
      <c r="A73" t="s">
        <v>18</v>
      </c>
      <c r="B73" s="78">
        <f>B72</f>
        <v>0.0045894584315390756</v>
      </c>
      <c r="C73" s="79">
        <f>(1+B73)^4-1</f>
        <v>0.01848459961539506</v>
      </c>
      <c r="D73" s="15"/>
      <c r="E73" s="7"/>
      <c r="F73" s="7"/>
      <c r="G73" s="76"/>
      <c r="H73" s="77"/>
    </row>
    <row r="74" spans="1:18" ht="13.5" hidden="1" thickBot="1">
      <c r="A74" t="s">
        <v>20</v>
      </c>
      <c r="B74" s="78">
        <f>B73</f>
        <v>0.0045894584315390756</v>
      </c>
      <c r="C74" s="9">
        <f>(1+B74)^2-1</f>
        <v>0.009199979991773022</v>
      </c>
      <c r="G74" s="40"/>
      <c r="H74" s="75"/>
      <c r="M74" t="s">
        <v>3</v>
      </c>
      <c r="N74" t="s">
        <v>4</v>
      </c>
      <c r="O74" t="s">
        <v>5</v>
      </c>
      <c r="P74" t="s">
        <v>6</v>
      </c>
      <c r="Q74" t="s">
        <v>7</v>
      </c>
      <c r="R74" t="s">
        <v>8</v>
      </c>
    </row>
    <row r="75" spans="1:18" ht="13.5" hidden="1" thickBot="1">
      <c r="A75" t="s">
        <v>22</v>
      </c>
      <c r="B75" s="78">
        <f>B74</f>
        <v>0.0045894584315390756</v>
      </c>
      <c r="C75" s="9">
        <f>B75</f>
        <v>0.0045894584315390756</v>
      </c>
      <c r="G75" s="40"/>
      <c r="H75" s="75"/>
      <c r="L75" t="s">
        <v>12</v>
      </c>
      <c r="M75" s="18">
        <f>C105</f>
        <v>0.06354591032368943</v>
      </c>
      <c r="N75" s="9">
        <f>M75/12</f>
        <v>0.0052954925269741195</v>
      </c>
      <c r="O75" s="9">
        <f>(1+R75)^(1/6)-1</f>
        <v>0.010619027295051486</v>
      </c>
      <c r="P75" s="9">
        <f>(1+R75)^(1/4)-1</f>
        <v>0.01597075280171034</v>
      </c>
      <c r="Q75" s="9">
        <f>(1+R75)^(1/2)-1</f>
        <v>0.03219657054847391</v>
      </c>
      <c r="R75" s="9">
        <f>(1+N75)^12-1</f>
        <v>0.06542976025203062</v>
      </c>
    </row>
    <row r="76" spans="7:18" ht="13.5" hidden="1" thickBot="1">
      <c r="G76" s="40"/>
      <c r="H76" s="75"/>
      <c r="L76" t="s">
        <v>17</v>
      </c>
      <c r="M76" s="11">
        <f>M75</f>
        <v>0.06354591032368943</v>
      </c>
      <c r="N76" s="9">
        <f>(1+R76)^(1/12)-1</f>
        <v>0.005281545167296953</v>
      </c>
      <c r="O76" s="9">
        <f>M76/6</f>
        <v>0.010590985053948239</v>
      </c>
      <c r="P76" s="9">
        <f>(1+R76)^(1/4)-1</f>
        <v>0.015928466987173984</v>
      </c>
      <c r="Q76" s="9">
        <f aca="true" t="shared" si="14" ref="Q76:Q84">(1+R76)^(1/2)-1</f>
        <v>0.032110650034909316</v>
      </c>
      <c r="R76" s="9">
        <f>(1+O76)^6-1</f>
        <v>0.06525239391548321</v>
      </c>
    </row>
    <row r="77" spans="7:18" ht="13.5" hidden="1" thickBot="1">
      <c r="G77" s="40"/>
      <c r="H77" s="75"/>
      <c r="L77" t="s">
        <v>19</v>
      </c>
      <c r="M77" s="11">
        <f aca="true" t="shared" si="15" ref="M77:M84">M76</f>
        <v>0.06354591032368943</v>
      </c>
      <c r="N77" s="9">
        <f>(1+R77)^(1/12)-1</f>
        <v>0.005267695190608546</v>
      </c>
      <c r="O77" s="9">
        <f>(1+R77)^(1/6)-1</f>
        <v>0.010563138993838317</v>
      </c>
      <c r="P77" s="9">
        <f>M77/4</f>
        <v>0.01588647758092236</v>
      </c>
      <c r="Q77" s="9">
        <f t="shared" si="14"/>
        <v>0.032025335331774096</v>
      </c>
      <c r="R77" s="9">
        <f>(1+P77)^4-1</f>
        <v>0.06507629276666083</v>
      </c>
    </row>
    <row r="78" spans="7:18" ht="13.5" hidden="1" thickBot="1">
      <c r="G78" s="40"/>
      <c r="H78" s="75"/>
      <c r="L78" t="s">
        <v>21</v>
      </c>
      <c r="M78" s="11">
        <f t="shared" si="15"/>
        <v>0.06354591032368943</v>
      </c>
      <c r="N78" s="9">
        <f>(1+R78)^(1/12)-1</f>
        <v>0.00522671824319243</v>
      </c>
      <c r="O78" s="9">
        <f>(1+R78)^(1/6)-1</f>
        <v>0.010480755069978365</v>
      </c>
      <c r="P78" s="9">
        <f>(1+R78)^(1/4)-1</f>
        <v>0.015762253266897286</v>
      </c>
      <c r="Q78" s="9">
        <f>M78/2</f>
        <v>0.03177295516184472</v>
      </c>
      <c r="R78" s="9">
        <f>(1+Q78)^2-1</f>
        <v>0.06455543100340577</v>
      </c>
    </row>
    <row r="79" spans="7:18" ht="13.5" hidden="1" thickBot="1">
      <c r="G79" s="40"/>
      <c r="H79" s="75"/>
      <c r="L79" t="s">
        <v>8</v>
      </c>
      <c r="M79" s="11">
        <f t="shared" si="15"/>
        <v>0.06354591032368943</v>
      </c>
      <c r="N79" s="9">
        <f>(1+R79)^(1/12)-1</f>
        <v>0.005147245436373682</v>
      </c>
      <c r="O79" s="9">
        <f>(1+R79)^(1/6)-1</f>
        <v>0.010320985008329675</v>
      </c>
      <c r="P79" s="9">
        <f>(1+R79)^(1/4)-1</f>
        <v>0.015521355087686484</v>
      </c>
      <c r="Q79" s="9">
        <f t="shared" si="14"/>
        <v>0.03128362263913087</v>
      </c>
      <c r="R79" s="9">
        <f>M79</f>
        <v>0.06354591032368943</v>
      </c>
    </row>
    <row r="80" spans="7:18" ht="13.5" hidden="1" thickBot="1">
      <c r="G80" s="40"/>
      <c r="H80" s="75"/>
      <c r="L80" t="s">
        <v>23</v>
      </c>
      <c r="M80" s="11">
        <f t="shared" si="15"/>
        <v>0.06354591032368943</v>
      </c>
      <c r="N80" s="9">
        <f>((M80/12)/(1-(M80/12)))</f>
        <v>0.0053236840561092175</v>
      </c>
      <c r="O80" s="9">
        <f>(1+R80)^(1/6)-1</f>
        <v>0.010675709724147886</v>
      </c>
      <c r="P80" s="9">
        <f>(1+R80)^(1/4)-1</f>
        <v>0.01605622788590333</v>
      </c>
      <c r="Q80" s="9">
        <f t="shared" si="14"/>
        <v>0.03237025822573081</v>
      </c>
      <c r="R80" s="9">
        <f>(1+N80)^12-1</f>
        <v>0.06578835006906214</v>
      </c>
    </row>
    <row r="81" spans="7:18" ht="13.5" hidden="1" thickBot="1">
      <c r="G81" s="40"/>
      <c r="H81" s="75"/>
      <c r="L81" t="s">
        <v>24</v>
      </c>
      <c r="M81" s="11">
        <f t="shared" si="15"/>
        <v>0.06354591032368943</v>
      </c>
      <c r="N81" s="9">
        <f>(1+R81)^(1/12)-1</f>
        <v>0.005337930605795904</v>
      </c>
      <c r="O81" s="9">
        <f>((M81/6)/(1-(M81/6)))</f>
        <v>0.010704354714744256</v>
      </c>
      <c r="P81" s="9">
        <f>(1+R81)^(1/4)-1</f>
        <v>0.016099424423187347</v>
      </c>
      <c r="Q81" s="9">
        <f t="shared" si="14"/>
        <v>0.03245804031313271</v>
      </c>
      <c r="R81" s="9">
        <f>(1+O81)^6-1</f>
        <v>0.06596960500723448</v>
      </c>
    </row>
    <row r="82" spans="7:18" ht="13.5" hidden="1" thickBot="1">
      <c r="G82" s="40"/>
      <c r="H82" s="75"/>
      <c r="L82" t="s">
        <v>25</v>
      </c>
      <c r="M82" s="11">
        <f t="shared" si="15"/>
        <v>0.06354591032368943</v>
      </c>
      <c r="N82" s="9">
        <f>(1+R82)^(1/12)-1</f>
        <v>0.005352279299821072</v>
      </c>
      <c r="O82" s="9">
        <f>(1+R82)^(1/6)-1</f>
        <v>0.010733205493345332</v>
      </c>
      <c r="P82" s="9">
        <f>((M82/4)/(1-(M82/4)))</f>
        <v>0.016142931906749286</v>
      </c>
      <c r="Q82" s="9">
        <f t="shared" si="14"/>
        <v>0.03254645806404444</v>
      </c>
      <c r="R82" s="9">
        <f>(1+P82)^4-1</f>
        <v>0.06615218806060352</v>
      </c>
    </row>
    <row r="83" spans="7:18" ht="13.5" hidden="1" thickBot="1">
      <c r="G83" s="40"/>
      <c r="H83" s="75"/>
      <c r="L83" t="s">
        <v>26</v>
      </c>
      <c r="M83" s="11">
        <f t="shared" si="15"/>
        <v>0.06354591032368943</v>
      </c>
      <c r="N83" s="9">
        <f>(1+R83)^(1/12)-1</f>
        <v>0.005395950776000191</v>
      </c>
      <c r="O83" s="9">
        <f>(1+R83)^(1/6)-1</f>
        <v>0.01082101783677758</v>
      </c>
      <c r="P83" s="9">
        <f>(1+R83)^(1/4)-1</f>
        <v>0.016275358292371367</v>
      </c>
      <c r="Q83" s="9">
        <f>((M83/2)/(1-(M83/2)))</f>
        <v>0.032815603872287775</v>
      </c>
      <c r="R83" s="9">
        <f>(1+Q83)^2-1</f>
        <v>0.06670807160207848</v>
      </c>
    </row>
    <row r="84" spans="7:18" ht="13.5" hidden="1" thickBot="1">
      <c r="G84" s="40"/>
      <c r="H84" s="75"/>
      <c r="L84" t="s">
        <v>27</v>
      </c>
      <c r="M84" s="11">
        <f t="shared" si="15"/>
        <v>0.06354591032368943</v>
      </c>
      <c r="N84" s="9">
        <f>(1+R84)^(1/12)-1</f>
        <v>0.005486226322663823</v>
      </c>
      <c r="O84" s="9">
        <f>(1+R84)^(1/6)-1</f>
        <v>0.01100255132459127</v>
      </c>
      <c r="P84" s="9">
        <f>(1+R84)^(1/4)-1</f>
        <v>0.016549140133948592</v>
      </c>
      <c r="Q84" s="9">
        <f t="shared" si="14"/>
        <v>0.03337215430707041</v>
      </c>
      <c r="R84" s="9">
        <f>(M84/(1-M84))</f>
        <v>0.06785800929723565</v>
      </c>
    </row>
    <row r="85" spans="7:18" ht="13.5" hidden="1" thickBot="1">
      <c r="G85" s="40"/>
      <c r="H85" s="75"/>
      <c r="M85" s="11"/>
      <c r="N85" s="9"/>
      <c r="O85" s="9"/>
      <c r="P85" s="9"/>
      <c r="Q85" s="9"/>
      <c r="R85" s="9"/>
    </row>
    <row r="86" spans="7:18" ht="13.5" hidden="1" thickBot="1">
      <c r="G86" s="40"/>
      <c r="H86" s="75"/>
      <c r="M86" s="11"/>
      <c r="N86" s="9"/>
      <c r="O86" s="9"/>
      <c r="P86" s="9"/>
      <c r="Q86" s="9"/>
      <c r="R86" s="9"/>
    </row>
    <row r="87" spans="7:18" ht="13.5" hidden="1" thickBot="1">
      <c r="G87" s="40"/>
      <c r="H87" s="75"/>
      <c r="M87" s="11"/>
      <c r="N87" s="9"/>
      <c r="O87" s="9"/>
      <c r="P87" s="9"/>
      <c r="Q87" s="9"/>
      <c r="R87" s="9"/>
    </row>
    <row r="88" spans="7:18" ht="13.5" hidden="1" thickBot="1">
      <c r="G88" s="40"/>
      <c r="H88" s="75"/>
      <c r="L88" t="str">
        <f>J62</f>
        <v>MENSUAL</v>
      </c>
      <c r="M88" s="11">
        <f>(1+$C$106)^(1/12)-1</f>
        <v>0.005352279299821072</v>
      </c>
      <c r="N88" s="9"/>
      <c r="O88" s="9"/>
      <c r="P88" s="9"/>
      <c r="Q88" s="9"/>
      <c r="R88" s="9"/>
    </row>
    <row r="89" spans="7:18" ht="13.5" hidden="1" thickBot="1">
      <c r="G89" s="40"/>
      <c r="H89" s="75"/>
      <c r="L89" t="str">
        <f>J63</f>
        <v>BIMENSUAL</v>
      </c>
      <c r="M89" s="11">
        <f>(1+$C$106)^(1/6)-1</f>
        <v>0.010733205493345332</v>
      </c>
      <c r="N89" s="9"/>
      <c r="O89" s="9"/>
      <c r="P89" s="9"/>
      <c r="Q89" s="9"/>
      <c r="R89" s="9"/>
    </row>
    <row r="90" spans="7:18" ht="13.5" hidden="1" thickBot="1">
      <c r="G90" s="40"/>
      <c r="H90" s="75"/>
      <c r="L90" t="str">
        <f>J64</f>
        <v>TRIMESTRAL</v>
      </c>
      <c r="M90" s="11">
        <f>(1+$C$106)^(1/4)-1</f>
        <v>0.016142931906749203</v>
      </c>
      <c r="N90" s="9"/>
      <c r="O90" s="9"/>
      <c r="P90" s="9"/>
      <c r="Q90" s="9"/>
      <c r="R90" s="9"/>
    </row>
    <row r="91" spans="2:18" ht="13.5" hidden="1" thickBot="1">
      <c r="B91" s="8"/>
      <c r="C91" s="9"/>
      <c r="D91" s="9"/>
      <c r="E91" s="9"/>
      <c r="F91" s="9"/>
      <c r="G91" s="80"/>
      <c r="H91" s="81"/>
      <c r="L91" t="str">
        <f>J65</f>
        <v>SEMESTRAL</v>
      </c>
      <c r="M91" s="11">
        <f>(1+$C$106)^(1/2)-1</f>
        <v>0.03254645806404444</v>
      </c>
      <c r="N91" s="9"/>
      <c r="O91" s="9"/>
      <c r="P91" s="9"/>
      <c r="Q91" s="9"/>
      <c r="R91" s="9"/>
    </row>
    <row r="92" spans="2:18" ht="14.25" customHeight="1" hidden="1">
      <c r="B92" s="11"/>
      <c r="C92" s="9"/>
      <c r="D92" s="9"/>
      <c r="E92" s="9"/>
      <c r="F92" s="9"/>
      <c r="G92" s="80"/>
      <c r="H92" s="82"/>
      <c r="L92" t="str">
        <f>J66</f>
        <v>ANNUAL</v>
      </c>
      <c r="M92" s="11">
        <f>(1+$C$106)^(1/1)-1</f>
        <v>0.06615218806060352</v>
      </c>
      <c r="N92" s="9"/>
      <c r="O92" s="9"/>
      <c r="P92" s="9"/>
      <c r="Q92" s="9"/>
      <c r="R92" s="9"/>
    </row>
    <row r="93" spans="2:18" ht="13.5" hidden="1" thickBot="1">
      <c r="B93" s="11"/>
      <c r="C93" s="9"/>
      <c r="D93" s="9"/>
      <c r="E93" s="9"/>
      <c r="F93" s="9"/>
      <c r="G93" s="80"/>
      <c r="H93" s="82"/>
      <c r="M93" s="11"/>
      <c r="N93" s="9"/>
      <c r="O93" s="9"/>
      <c r="P93" s="9"/>
      <c r="Q93" s="9"/>
      <c r="R93" s="9"/>
    </row>
    <row r="94" spans="7:8" ht="13.5" hidden="1" thickBot="1">
      <c r="G94" s="40"/>
      <c r="H94" s="75"/>
    </row>
    <row r="95" spans="1:8" ht="13.5" hidden="1" thickBot="1">
      <c r="A95" s="1"/>
      <c r="G95" s="40"/>
      <c r="H95" s="75"/>
    </row>
    <row r="96" spans="1:8" ht="13.5" hidden="1" thickBot="1">
      <c r="A96" s="1"/>
      <c r="G96" s="40"/>
      <c r="H96" s="75"/>
    </row>
    <row r="97" spans="1:8" ht="13.5" thickBot="1">
      <c r="A97" s="1"/>
      <c r="G97" s="56" t="s">
        <v>28</v>
      </c>
      <c r="H97" s="83">
        <f>B43</f>
        <v>400000000</v>
      </c>
    </row>
    <row r="98" spans="1:8" ht="13.5" thickBot="1">
      <c r="A98" s="1"/>
      <c r="G98" s="56" t="s">
        <v>59</v>
      </c>
      <c r="H98" s="84">
        <v>330</v>
      </c>
    </row>
    <row r="99" spans="1:8" ht="13.5" thickBot="1">
      <c r="A99" s="33" t="str">
        <f>A39</f>
        <v>BANCO 2</v>
      </c>
      <c r="B99" s="34"/>
      <c r="C99" s="34"/>
      <c r="D99" s="35"/>
      <c r="G99" s="56" t="s">
        <v>48</v>
      </c>
      <c r="H99" s="84">
        <v>1600</v>
      </c>
    </row>
    <row r="100" spans="1:8" ht="13.5" thickBot="1">
      <c r="A100" s="37" t="s">
        <v>28</v>
      </c>
      <c r="B100" s="38">
        <f>B39</f>
        <v>200000000</v>
      </c>
      <c r="C100" s="7"/>
      <c r="D100" s="39"/>
      <c r="G100" s="56" t="s">
        <v>60</v>
      </c>
      <c r="H100" s="85">
        <v>0.02</v>
      </c>
    </row>
    <row r="101" spans="1:8" ht="13.5" thickBot="1">
      <c r="A101" s="41" t="s">
        <v>39</v>
      </c>
      <c r="B101" s="38">
        <f>B100/(1-B110)</f>
        <v>200000000</v>
      </c>
      <c r="C101" s="7"/>
      <c r="D101" s="39"/>
      <c r="G101" s="86"/>
      <c r="H101" s="60"/>
    </row>
    <row r="102" spans="1:8" ht="13.5" thickBot="1">
      <c r="A102" s="41" t="s">
        <v>40</v>
      </c>
      <c r="B102" s="121" t="s">
        <v>13</v>
      </c>
      <c r="C102" s="44" t="s">
        <v>41</v>
      </c>
      <c r="D102" s="122" t="s">
        <v>25</v>
      </c>
      <c r="G102" s="87" t="s">
        <v>46</v>
      </c>
      <c r="H102" s="63">
        <f>H98/(H99*(1-H100))</f>
        <v>0.21045918367346939</v>
      </c>
    </row>
    <row r="103" spans="1:4" ht="13.5" thickBot="1">
      <c r="A103" s="41" t="s">
        <v>43</v>
      </c>
      <c r="B103" s="28">
        <v>0.1</v>
      </c>
      <c r="C103" s="46"/>
      <c r="D103" s="47">
        <v>0.04</v>
      </c>
    </row>
    <row r="104" spans="1:4" ht="13.5" hidden="1" thickBot="1">
      <c r="A104" s="41"/>
      <c r="B104" s="48">
        <f>VLOOKUP(D102,L61:R71,2,0)</f>
        <v>0.023545910323689436</v>
      </c>
      <c r="C104" s="46"/>
      <c r="D104" s="49">
        <f>D103</f>
        <v>0.04</v>
      </c>
    </row>
    <row r="105" spans="1:4" ht="13.5" hidden="1" thickBot="1">
      <c r="A105" s="41"/>
      <c r="B105" s="23"/>
      <c r="C105" s="51">
        <f>IF(B102="efectiva",B103,B104+D104)</f>
        <v>0.06354591032368943</v>
      </c>
      <c r="D105" s="52" t="str">
        <f>D102</f>
        <v>ATA</v>
      </c>
    </row>
    <row r="106" spans="1:4" ht="13.5" hidden="1" thickBot="1">
      <c r="A106" s="41"/>
      <c r="B106" s="23"/>
      <c r="C106" s="54">
        <f>IF(B102="efectiva",C105,VLOOKUP(D105,L74:R84,7,0))</f>
        <v>0.06615218806060352</v>
      </c>
      <c r="D106" s="52" t="s">
        <v>8</v>
      </c>
    </row>
    <row r="107" spans="1:9" ht="13.5" thickBot="1">
      <c r="A107" s="56" t="s">
        <v>47</v>
      </c>
      <c r="B107" s="57">
        <f>VLOOKUP(B108,L88:M92,2,0)</f>
        <v>0.005352279299821072</v>
      </c>
      <c r="C107" s="7"/>
      <c r="D107" s="39"/>
      <c r="G107" s="33" t="s">
        <v>61</v>
      </c>
      <c r="H107" s="88"/>
      <c r="I107" s="89"/>
    </row>
    <row r="108" spans="1:9" ht="13.5" thickBot="1">
      <c r="A108" s="41" t="s">
        <v>49</v>
      </c>
      <c r="B108" s="43" t="s">
        <v>10</v>
      </c>
      <c r="C108" s="7"/>
      <c r="D108" s="39"/>
      <c r="G108" s="59"/>
      <c r="H108" s="90"/>
      <c r="I108" s="53"/>
    </row>
    <row r="109" spans="1:9" ht="13.5" thickBot="1">
      <c r="A109" s="41" t="s">
        <v>50</v>
      </c>
      <c r="B109" s="61">
        <v>60</v>
      </c>
      <c r="C109" s="6" t="s">
        <v>51</v>
      </c>
      <c r="D109" s="39"/>
      <c r="G109" s="86"/>
      <c r="H109" s="27" t="s">
        <v>62</v>
      </c>
      <c r="I109" s="91" t="s">
        <v>63</v>
      </c>
    </row>
    <row r="110" spans="1:9" ht="26.25" thickBot="1">
      <c r="A110" s="41" t="s">
        <v>52</v>
      </c>
      <c r="B110" s="64">
        <v>0</v>
      </c>
      <c r="C110" s="6" t="s">
        <v>22</v>
      </c>
      <c r="D110" s="39"/>
      <c r="G110" s="56" t="s">
        <v>48</v>
      </c>
      <c r="H110" s="92">
        <v>1500</v>
      </c>
      <c r="I110" s="29">
        <v>1380</v>
      </c>
    </row>
    <row r="111" spans="1:9" ht="26.25" thickBot="1">
      <c r="A111" s="41" t="s">
        <v>53</v>
      </c>
      <c r="B111" s="64">
        <v>0</v>
      </c>
      <c r="C111" s="6" t="s">
        <v>22</v>
      </c>
      <c r="D111" s="39"/>
      <c r="G111" s="56" t="s">
        <v>42</v>
      </c>
      <c r="H111" s="83">
        <f>H51</f>
        <v>300</v>
      </c>
      <c r="I111" s="93">
        <f>H111</f>
        <v>300</v>
      </c>
    </row>
    <row r="112" spans="1:9" ht="13.5" thickBot="1">
      <c r="A112" s="65" t="s">
        <v>55</v>
      </c>
      <c r="B112" s="66">
        <f>VLOOKUP(B108,A113:C118,3,0)</f>
        <v>0.042555933671684976</v>
      </c>
      <c r="C112" s="67"/>
      <c r="D112" s="68"/>
      <c r="G112" s="56" t="s">
        <v>64</v>
      </c>
      <c r="H112" s="94">
        <f>H52</f>
        <v>0.15</v>
      </c>
      <c r="I112" s="53"/>
    </row>
    <row r="113" spans="3:18" ht="12.75" hidden="1">
      <c r="C113" t="s">
        <v>22</v>
      </c>
      <c r="G113" s="56" t="s">
        <v>65</v>
      </c>
      <c r="H113" s="60"/>
      <c r="I113" s="53"/>
      <c r="M113" t="s">
        <v>3</v>
      </c>
      <c r="N113" t="s">
        <v>4</v>
      </c>
      <c r="O113" t="s">
        <v>5</v>
      </c>
      <c r="P113" t="s">
        <v>6</v>
      </c>
      <c r="Q113" t="s">
        <v>7</v>
      </c>
      <c r="R113" t="s">
        <v>8</v>
      </c>
    </row>
    <row r="114" spans="1:18" ht="12.75" hidden="1">
      <c r="A114" t="s">
        <v>10</v>
      </c>
      <c r="B114" s="78">
        <f>J316</f>
        <v>0.003478981544883937</v>
      </c>
      <c r="C114" s="9">
        <f>(1+B114)^12-1</f>
        <v>0.042555933671684976</v>
      </c>
      <c r="G114" s="56"/>
      <c r="H114" s="60"/>
      <c r="I114" s="53"/>
      <c r="J114" t="s">
        <v>10</v>
      </c>
      <c r="K114" t="s">
        <v>11</v>
      </c>
      <c r="L114" t="s">
        <v>12</v>
      </c>
      <c r="M114" s="8">
        <f>N114*12</f>
        <v>0.09568968514684517</v>
      </c>
      <c r="N114" s="9">
        <f>(1+R114)^(1/12)-1</f>
        <v>0.007974140428903764</v>
      </c>
      <c r="O114" s="9">
        <f>(1+R114)^(1/6)-1</f>
        <v>0.016011867773387367</v>
      </c>
      <c r="P114" s="9">
        <f>(1+R114)^(1/4)-1</f>
        <v>0.02411368908444511</v>
      </c>
      <c r="Q114" s="9">
        <f>(1+R114)^(1/2)-1</f>
        <v>0.04880884817015163</v>
      </c>
      <c r="R114" s="10">
        <f>B154</f>
        <v>0.1</v>
      </c>
    </row>
    <row r="115" spans="1:18" ht="12.75" hidden="1">
      <c r="A115" t="s">
        <v>15</v>
      </c>
      <c r="B115" s="78">
        <f>B114</f>
        <v>0.003478981544883937</v>
      </c>
      <c r="C115" s="9">
        <f>(1+B115)^6-1</f>
        <v>0.021056283302583134</v>
      </c>
      <c r="G115" s="56" t="s">
        <v>46</v>
      </c>
      <c r="H115" s="60" t="s">
        <v>14</v>
      </c>
      <c r="I115" s="53"/>
      <c r="J115" t="s">
        <v>15</v>
      </c>
      <c r="K115" t="s">
        <v>16</v>
      </c>
      <c r="L115" t="s">
        <v>17</v>
      </c>
      <c r="M115" s="11">
        <f>O115*6</f>
        <v>0.0960712066403242</v>
      </c>
      <c r="N115" s="9">
        <f aca="true" t="shared" si="16" ref="N115:N123">(1+R115)^(1/12)-1</f>
        <v>0.007974140428903764</v>
      </c>
      <c r="O115" s="9">
        <f aca="true" t="shared" si="17" ref="O115:O123">(1+R115)^(1/6)-1</f>
        <v>0.016011867773387367</v>
      </c>
      <c r="P115" s="9">
        <f aca="true" t="shared" si="18" ref="P115:P123">(1+R115)^(1/4)-1</f>
        <v>0.02411368908444511</v>
      </c>
      <c r="Q115" s="9">
        <f aca="true" t="shared" si="19" ref="Q115:Q123">(1+R115)^(1/2)-1</f>
        <v>0.04880884817015163</v>
      </c>
      <c r="R115" s="9">
        <f>R114</f>
        <v>0.1</v>
      </c>
    </row>
    <row r="116" spans="1:18" ht="12.75" hidden="1">
      <c r="A116" t="s">
        <v>18</v>
      </c>
      <c r="B116" s="78">
        <f>B115</f>
        <v>0.003478981544883937</v>
      </c>
      <c r="C116" s="9">
        <f>(1+B116)^4-1</f>
        <v>0.013988714630368326</v>
      </c>
      <c r="G116" s="41"/>
      <c r="H116" s="60" t="s">
        <v>14</v>
      </c>
      <c r="I116" s="53"/>
      <c r="J116" t="s">
        <v>18</v>
      </c>
      <c r="L116" t="s">
        <v>19</v>
      </c>
      <c r="M116" s="11">
        <f>P116*4</f>
        <v>0.09645475633778045</v>
      </c>
      <c r="N116" s="9">
        <f t="shared" si="16"/>
        <v>0.007974140428903764</v>
      </c>
      <c r="O116" s="9">
        <f t="shared" si="17"/>
        <v>0.016011867773387367</v>
      </c>
      <c r="P116" s="9">
        <f t="shared" si="18"/>
        <v>0.02411368908444511</v>
      </c>
      <c r="Q116" s="9">
        <f t="shared" si="19"/>
        <v>0.04880884817015163</v>
      </c>
      <c r="R116" s="9">
        <f aca="true" t="shared" si="20" ref="R116:R123">R115</f>
        <v>0.1</v>
      </c>
    </row>
    <row r="117" spans="1:18" ht="12.75" hidden="1">
      <c r="A117" t="s">
        <v>20</v>
      </c>
      <c r="B117" s="78">
        <f>B116</f>
        <v>0.003478981544883937</v>
      </c>
      <c r="C117" s="9">
        <f>(1+B117)^2-1</f>
        <v>0.006970066402357533</v>
      </c>
      <c r="G117" s="41"/>
      <c r="H117" s="60"/>
      <c r="I117" s="53"/>
      <c r="J117" t="s">
        <v>20</v>
      </c>
      <c r="L117" t="s">
        <v>21</v>
      </c>
      <c r="M117" s="11">
        <f>Q117*2</f>
        <v>0.09761769634030326</v>
      </c>
      <c r="N117" s="9">
        <f t="shared" si="16"/>
        <v>0.007974140428903764</v>
      </c>
      <c r="O117" s="9">
        <f t="shared" si="17"/>
        <v>0.016011867773387367</v>
      </c>
      <c r="P117" s="9">
        <f t="shared" si="18"/>
        <v>0.02411368908444511</v>
      </c>
      <c r="Q117" s="9">
        <f t="shared" si="19"/>
        <v>0.04880884817015163</v>
      </c>
      <c r="R117" s="9">
        <f t="shared" si="20"/>
        <v>0.1</v>
      </c>
    </row>
    <row r="118" spans="1:18" ht="12.75" hidden="1">
      <c r="A118" t="s">
        <v>22</v>
      </c>
      <c r="B118" s="78">
        <f>B117</f>
        <v>0.003478981544883937</v>
      </c>
      <c r="C118" s="9">
        <f>(1+B118)^1-1</f>
        <v>0.003478981544883908</v>
      </c>
      <c r="G118" s="41"/>
      <c r="H118" s="60"/>
      <c r="I118" s="53"/>
      <c r="J118" t="s">
        <v>22</v>
      </c>
      <c r="L118" t="s">
        <v>8</v>
      </c>
      <c r="M118" s="11">
        <f>R118</f>
        <v>0.1</v>
      </c>
      <c r="N118" s="9">
        <f t="shared" si="16"/>
        <v>0.007974140428903764</v>
      </c>
      <c r="O118" s="9">
        <f t="shared" si="17"/>
        <v>0.016011867773387367</v>
      </c>
      <c r="P118" s="9">
        <f t="shared" si="18"/>
        <v>0.02411368908444511</v>
      </c>
      <c r="Q118" s="9">
        <f t="shared" si="19"/>
        <v>0.04880884817015163</v>
      </c>
      <c r="R118" s="9">
        <f t="shared" si="20"/>
        <v>0.1</v>
      </c>
    </row>
    <row r="119" spans="7:18" ht="12.75" hidden="1">
      <c r="G119" s="41"/>
      <c r="H119" s="60"/>
      <c r="I119" s="53"/>
      <c r="L119" t="s">
        <v>23</v>
      </c>
      <c r="M119" s="8">
        <f>(((1+R119)^(1/12)-1)/(1+((1+R119)^(1/12)-1)))</f>
        <v>0.00791105655300907</v>
      </c>
      <c r="N119" s="9">
        <f t="shared" si="16"/>
        <v>0.007974140428903764</v>
      </c>
      <c r="O119" s="9">
        <f t="shared" si="17"/>
        <v>0.016011867773387367</v>
      </c>
      <c r="P119" s="9">
        <f t="shared" si="18"/>
        <v>0.02411368908444511</v>
      </c>
      <c r="Q119" s="9">
        <f t="shared" si="19"/>
        <v>0.04880884817015163</v>
      </c>
      <c r="R119" s="9">
        <f t="shared" si="20"/>
        <v>0.1</v>
      </c>
    </row>
    <row r="120" spans="1:18" ht="12.75" hidden="1">
      <c r="A120" s="7"/>
      <c r="B120" s="7"/>
      <c r="C120" s="7"/>
      <c r="D120" s="7"/>
      <c r="E120" s="7"/>
      <c r="F120" s="7"/>
      <c r="G120" s="41"/>
      <c r="H120" s="60"/>
      <c r="I120" s="53"/>
      <c r="L120" t="s">
        <v>24</v>
      </c>
      <c r="M120" s="8">
        <f>(((1+R120)^(1/6)-1)/(1+((1+R120)^(1/6)-1)))</f>
        <v>0.015759528290233197</v>
      </c>
      <c r="N120" s="9">
        <f t="shared" si="16"/>
        <v>0.007974140428903764</v>
      </c>
      <c r="O120" s="9">
        <f t="shared" si="17"/>
        <v>0.016011867773387367</v>
      </c>
      <c r="P120" s="9">
        <f t="shared" si="18"/>
        <v>0.02411368908444511</v>
      </c>
      <c r="Q120" s="9">
        <f t="shared" si="19"/>
        <v>0.04880884817015163</v>
      </c>
      <c r="R120" s="9">
        <f t="shared" si="20"/>
        <v>0.1</v>
      </c>
    </row>
    <row r="121" spans="2:18" ht="12.75" hidden="1">
      <c r="B121" s="13"/>
      <c r="C121" s="14"/>
      <c r="D121" s="15"/>
      <c r="E121" s="7"/>
      <c r="F121" s="7"/>
      <c r="G121" s="95"/>
      <c r="H121" s="96"/>
      <c r="I121" s="53"/>
      <c r="L121" t="s">
        <v>25</v>
      </c>
      <c r="M121" s="8">
        <f>(((1+R121)^(1/4)-1)/(1+((1+R121)^(1/4)-1)))</f>
        <v>0.023545910323689436</v>
      </c>
      <c r="N121" s="9">
        <f t="shared" si="16"/>
        <v>0.007974140428903764</v>
      </c>
      <c r="O121" s="9">
        <f t="shared" si="17"/>
        <v>0.016011867773387367</v>
      </c>
      <c r="P121" s="9">
        <f t="shared" si="18"/>
        <v>0.02411368908444511</v>
      </c>
      <c r="Q121" s="9">
        <f t="shared" si="19"/>
        <v>0.04880884817015163</v>
      </c>
      <c r="R121" s="9">
        <f t="shared" si="20"/>
        <v>0.1</v>
      </c>
    </row>
    <row r="122" spans="2:18" ht="12.75" hidden="1">
      <c r="B122" s="13"/>
      <c r="C122" s="14"/>
      <c r="D122" s="15"/>
      <c r="E122" s="7"/>
      <c r="F122" s="7"/>
      <c r="G122" s="95"/>
      <c r="H122" s="96"/>
      <c r="I122" s="53"/>
      <c r="L122" t="s">
        <v>26</v>
      </c>
      <c r="M122" s="8">
        <f>(((1+R122)^(1/2)-1)/(1+((1+R122)^(1/2)-1)))</f>
        <v>0.04653741075440776</v>
      </c>
      <c r="N122" s="9">
        <f t="shared" si="16"/>
        <v>0.007974140428903764</v>
      </c>
      <c r="O122" s="9">
        <f t="shared" si="17"/>
        <v>0.016011867773387367</v>
      </c>
      <c r="P122" s="9">
        <f t="shared" si="18"/>
        <v>0.02411368908444511</v>
      </c>
      <c r="Q122" s="9">
        <f t="shared" si="19"/>
        <v>0.04880884817015163</v>
      </c>
      <c r="R122" s="9">
        <f t="shared" si="20"/>
        <v>0.1</v>
      </c>
    </row>
    <row r="123" spans="2:18" ht="12.75" hidden="1">
      <c r="B123" s="13"/>
      <c r="C123" s="14"/>
      <c r="D123" s="15"/>
      <c r="E123" s="7"/>
      <c r="F123" s="7"/>
      <c r="G123" s="95"/>
      <c r="H123" s="96"/>
      <c r="I123" s="53"/>
      <c r="L123" t="s">
        <v>27</v>
      </c>
      <c r="M123" s="8">
        <f>(((1+R123)^(1/1)-1)/(1+((1+R123)^(1/1)-1)))</f>
        <v>0.09090909090909098</v>
      </c>
      <c r="N123" s="9">
        <f t="shared" si="16"/>
        <v>0.007974140428903764</v>
      </c>
      <c r="O123" s="9">
        <f t="shared" si="17"/>
        <v>0.016011867773387367</v>
      </c>
      <c r="P123" s="9">
        <f t="shared" si="18"/>
        <v>0.02411368908444511</v>
      </c>
      <c r="Q123" s="9">
        <f t="shared" si="19"/>
        <v>0.04880884817015163</v>
      </c>
      <c r="R123" s="9">
        <f t="shared" si="20"/>
        <v>0.1</v>
      </c>
    </row>
    <row r="124" spans="2:9" ht="12.75" hidden="1">
      <c r="B124" s="13"/>
      <c r="C124" s="14"/>
      <c r="D124" s="15"/>
      <c r="E124" s="7"/>
      <c r="F124" s="7"/>
      <c r="G124" s="95"/>
      <c r="H124" s="96"/>
      <c r="I124" s="53"/>
    </row>
    <row r="125" spans="2:9" ht="12.75" hidden="1">
      <c r="B125" s="13"/>
      <c r="C125" s="14"/>
      <c r="D125" s="15"/>
      <c r="E125" s="7"/>
      <c r="F125" s="7"/>
      <c r="G125" s="95"/>
      <c r="H125" s="96"/>
      <c r="I125" s="53"/>
    </row>
    <row r="126" spans="7:18" ht="12.75" hidden="1">
      <c r="G126" s="41"/>
      <c r="H126" s="60"/>
      <c r="I126" s="53"/>
      <c r="M126" t="s">
        <v>3</v>
      </c>
      <c r="N126" t="s">
        <v>4</v>
      </c>
      <c r="O126" t="s">
        <v>5</v>
      </c>
      <c r="P126" t="s">
        <v>6</v>
      </c>
      <c r="Q126" t="s">
        <v>7</v>
      </c>
      <c r="R126" t="s">
        <v>8</v>
      </c>
    </row>
    <row r="127" spans="7:18" ht="12.75" hidden="1">
      <c r="G127" s="41"/>
      <c r="H127" s="60"/>
      <c r="I127" s="53"/>
      <c r="L127" t="s">
        <v>12</v>
      </c>
      <c r="M127" s="18">
        <f>C156</f>
        <v>0.17761769634030328</v>
      </c>
      <c r="N127" s="9">
        <f>M127/12</f>
        <v>0.014801474695025274</v>
      </c>
      <c r="O127" s="9">
        <f>(1+R127)^(1/6)-1</f>
        <v>0.029822033043198193</v>
      </c>
      <c r="P127" s="9">
        <f>(1+R127)^(1/4)-1</f>
        <v>0.04506491780566657</v>
      </c>
      <c r="Q127" s="9">
        <f>(1+R127)^(1/2)-1</f>
        <v>0.09216068242816466</v>
      </c>
      <c r="R127" s="9">
        <f>(1+N127)^12-1</f>
        <v>0.19281495624195455</v>
      </c>
    </row>
    <row r="128" spans="7:18" ht="12.75" hidden="1">
      <c r="G128" s="41"/>
      <c r="H128" s="60"/>
      <c r="I128" s="53"/>
      <c r="L128" t="s">
        <v>17</v>
      </c>
      <c r="M128" s="11">
        <f>M127</f>
        <v>0.17761769634030328</v>
      </c>
      <c r="N128" s="9">
        <f>(1+R128)^(1/12)-1</f>
        <v>0.014693524858639506</v>
      </c>
      <c r="O128" s="9">
        <f>M128/6</f>
        <v>0.029602949390050547</v>
      </c>
      <c r="P128" s="9">
        <f>(1+R128)^(1/4)-1</f>
        <v>0.04473144592144185</v>
      </c>
      <c r="Q128" s="9">
        <f aca="true" t="shared" si="21" ref="Q128:Q136">(1+R128)^(1/2)-1</f>
        <v>0.09146379409710659</v>
      </c>
      <c r="R128" s="9">
        <f>(1+O128)^6-1</f>
        <v>0.19129321382485087</v>
      </c>
    </row>
    <row r="129" spans="7:18" ht="12.75" hidden="1">
      <c r="G129" s="41"/>
      <c r="H129" s="60"/>
      <c r="I129" s="53"/>
      <c r="L129" t="s">
        <v>19</v>
      </c>
      <c r="M129" s="11">
        <f aca="true" t="shared" si="22" ref="M129:M136">M128</f>
        <v>0.17761769634030328</v>
      </c>
      <c r="N129" s="9">
        <f>(1+R129)^(1/12)-1</f>
        <v>0.014587640687803605</v>
      </c>
      <c r="O129" s="9">
        <f>(1+R129)^(1/6)-1</f>
        <v>0.029388080636443714</v>
      </c>
      <c r="P129" s="9">
        <f>M129/4</f>
        <v>0.04440442408507582</v>
      </c>
      <c r="Q129" s="9">
        <f t="shared" si="21"/>
        <v>0.09078060104847885</v>
      </c>
      <c r="R129" s="9">
        <f>(1+P129)^4-1</f>
        <v>0.18980231962368088</v>
      </c>
    </row>
    <row r="130" spans="7:18" ht="12.75" hidden="1">
      <c r="G130" s="41"/>
      <c r="H130" s="60"/>
      <c r="I130" s="53"/>
      <c r="L130" t="s">
        <v>21</v>
      </c>
      <c r="M130" s="11">
        <f t="shared" si="22"/>
        <v>0.17761769634030328</v>
      </c>
      <c r="N130" s="9">
        <f>(1+R130)^(1/12)-1</f>
        <v>0.014281739798751802</v>
      </c>
      <c r="O130" s="9">
        <f>(1+R130)^(1/6)-1</f>
        <v>0.028767447689182823</v>
      </c>
      <c r="P130" s="9">
        <f>(1+R130)^(1/4)-1</f>
        <v>0.0434600366905058</v>
      </c>
      <c r="Q130" s="9">
        <f>M130/2</f>
        <v>0.08880884817015164</v>
      </c>
      <c r="R130" s="9">
        <f>(1+Q130)^2-1</f>
        <v>0.18550470785361228</v>
      </c>
    </row>
    <row r="131" spans="7:18" ht="12.75" hidden="1">
      <c r="G131" s="41"/>
      <c r="H131" s="60"/>
      <c r="I131" s="53"/>
      <c r="L131" t="s">
        <v>8</v>
      </c>
      <c r="M131" s="11">
        <f t="shared" si="22"/>
        <v>0.17761769634030328</v>
      </c>
      <c r="N131" s="9">
        <f>(1+R131)^(1/12)-1</f>
        <v>0.013717693905066719</v>
      </c>
      <c r="O131" s="9">
        <f>(1+R131)^(1/6)-1</f>
        <v>0.02762356293620649</v>
      </c>
      <c r="P131" s="9">
        <f>(1+R131)^(1/4)-1</f>
        <v>0.0417201884221996</v>
      </c>
      <c r="Q131" s="9">
        <f t="shared" si="21"/>
        <v>0.085180950966383</v>
      </c>
      <c r="R131" s="9">
        <f>M131</f>
        <v>0.17761769634030328</v>
      </c>
    </row>
    <row r="132" spans="7:18" ht="12.75" hidden="1">
      <c r="G132" s="41"/>
      <c r="H132" s="60"/>
      <c r="I132" s="53"/>
      <c r="L132" t="s">
        <v>23</v>
      </c>
      <c r="M132" s="11">
        <f t="shared" si="22"/>
        <v>0.17761769634030328</v>
      </c>
      <c r="N132" s="9">
        <f>((M132/12)/(1-(M132/12)))</f>
        <v>0.015023849828077421</v>
      </c>
      <c r="O132" s="9">
        <f>(1+R132)^(1/6)-1</f>
        <v>0.03027341571981168</v>
      </c>
      <c r="P132" s="9">
        <f>(1+R132)^(1/4)-1</f>
        <v>0.0457520887994467</v>
      </c>
      <c r="Q132" s="9">
        <f t="shared" si="21"/>
        <v>0.0935974312284058</v>
      </c>
      <c r="R132" s="9">
        <f>(1+N132)^12-1</f>
        <v>0.19595534158936756</v>
      </c>
    </row>
    <row r="133" spans="7:18" ht="12.75" hidden="1">
      <c r="G133" s="41"/>
      <c r="H133" s="60"/>
      <c r="I133" s="53"/>
      <c r="L133" t="s">
        <v>24</v>
      </c>
      <c r="M133" s="11">
        <f t="shared" si="22"/>
        <v>0.17761769634030328</v>
      </c>
      <c r="N133" s="9">
        <f>(1+R133)^(1/12)-1</f>
        <v>0.015138422818115949</v>
      </c>
      <c r="O133" s="9">
        <f>((M133/6)/(1-(M133/6)))</f>
        <v>0.03050601748165189</v>
      </c>
      <c r="P133" s="9">
        <f>(1+R133)^(1/4)-1</f>
        <v>0.04610625329090179</v>
      </c>
      <c r="Q133" s="9">
        <f t="shared" si="21"/>
        <v>0.09433829317432862</v>
      </c>
      <c r="R133" s="9">
        <f>(1+O133)^6-1</f>
        <v>0.19757629990770265</v>
      </c>
    </row>
    <row r="134" spans="2:18" ht="12.75" hidden="1">
      <c r="B134" s="78"/>
      <c r="G134" s="41"/>
      <c r="H134" s="60"/>
      <c r="I134" s="53"/>
      <c r="L134" t="s">
        <v>25</v>
      </c>
      <c r="M134" s="11">
        <f t="shared" si="22"/>
        <v>0.17761769634030328</v>
      </c>
      <c r="N134" s="9">
        <f>(1+R134)^(1/12)-1</f>
        <v>0.015255357295328675</v>
      </c>
      <c r="O134" s="9">
        <f>(1+R134)^(1/6)-1</f>
        <v>0.030743440516865395</v>
      </c>
      <c r="P134" s="9">
        <f>((M134/4)/(1-(M134/4)))</f>
        <v>0.046467799981766665</v>
      </c>
      <c r="Q134" s="9">
        <f t="shared" si="21"/>
        <v>0.09509485639867865</v>
      </c>
      <c r="R134" s="9">
        <f>(1+P134)^4-1</f>
        <v>0.1992327445108426</v>
      </c>
    </row>
    <row r="135" spans="2:18" ht="12.75" hidden="1">
      <c r="B135" s="78"/>
      <c r="G135" s="41"/>
      <c r="H135" s="60"/>
      <c r="I135" s="53"/>
      <c r="L135" t="s">
        <v>26</v>
      </c>
      <c r="M135" s="11">
        <f t="shared" si="22"/>
        <v>0.17761769634030328</v>
      </c>
      <c r="N135" s="9">
        <f>(1+R135)^(1/12)-1</f>
        <v>0.015621184327642812</v>
      </c>
      <c r="O135" s="9">
        <f>(1+R135)^(1/6)-1</f>
        <v>0.03148639005508369</v>
      </c>
      <c r="P135" s="9">
        <f>(1+R135)^(1/4)-1</f>
        <v>0.04759942908558923</v>
      </c>
      <c r="Q135" s="9">
        <f>((M135/2)/(1-(M135/2)))</f>
        <v>0.09746456382045224</v>
      </c>
      <c r="R135" s="9">
        <f>(1+Q135)^2-1</f>
        <v>0.20442846884161558</v>
      </c>
    </row>
    <row r="136" spans="2:18" ht="12.75" hidden="1">
      <c r="B136" s="78"/>
      <c r="G136" s="41"/>
      <c r="H136" s="60"/>
      <c r="I136" s="53"/>
      <c r="L136" t="s">
        <v>27</v>
      </c>
      <c r="M136" s="11">
        <f t="shared" si="22"/>
        <v>0.17761769634030328</v>
      </c>
      <c r="N136" s="9">
        <f>(1+R136)^(1/12)-1</f>
        <v>0.016429326347143336</v>
      </c>
      <c r="O136" s="9">
        <f>(1+R136)^(1/6)-1</f>
        <v>0.03312857545850756</v>
      </c>
      <c r="P136" s="9">
        <f>(1+R136)^(1/4)-1</f>
        <v>0.05010218198327476</v>
      </c>
      <c r="Q136" s="9">
        <f t="shared" si="21"/>
        <v>0.10271459260603466</v>
      </c>
      <c r="R136" s="9">
        <f>(M136/(1-M136))</f>
        <v>0.2159794727462932</v>
      </c>
    </row>
    <row r="137" spans="2:18" ht="12.75" hidden="1">
      <c r="B137" s="78"/>
      <c r="G137" s="41"/>
      <c r="H137" s="60"/>
      <c r="I137" s="53"/>
      <c r="M137" s="11"/>
      <c r="N137" s="9"/>
      <c r="O137" s="9"/>
      <c r="P137" s="9"/>
      <c r="Q137" s="9"/>
      <c r="R137" s="9"/>
    </row>
    <row r="138" spans="7:18" ht="12.75" hidden="1">
      <c r="G138" s="41"/>
      <c r="H138" s="60"/>
      <c r="I138" s="53"/>
      <c r="M138" s="11"/>
      <c r="N138" s="9"/>
      <c r="O138" s="9"/>
      <c r="P138" s="9"/>
      <c r="Q138" s="9"/>
      <c r="R138" s="9"/>
    </row>
    <row r="139" spans="7:18" ht="12.75" hidden="1">
      <c r="G139" s="41"/>
      <c r="H139" s="60"/>
      <c r="I139" s="53"/>
      <c r="M139" s="11"/>
      <c r="N139" s="9"/>
      <c r="O139" s="9"/>
      <c r="P139" s="9"/>
      <c r="Q139" s="9"/>
      <c r="R139" s="9"/>
    </row>
    <row r="140" spans="7:18" ht="12.75" hidden="1">
      <c r="G140" s="41"/>
      <c r="H140" s="60"/>
      <c r="I140" s="53"/>
      <c r="L140" t="str">
        <f>J114</f>
        <v>MENSUAL</v>
      </c>
      <c r="M140" s="11">
        <f>(1+$C$157)^(1/12)-1</f>
        <v>0.014281739798751802</v>
      </c>
      <c r="N140" s="9"/>
      <c r="O140" s="9"/>
      <c r="P140" s="9"/>
      <c r="Q140" s="9"/>
      <c r="R140" s="9"/>
    </row>
    <row r="141" spans="7:18" ht="12.75" hidden="1">
      <c r="G141" s="41"/>
      <c r="H141" s="60"/>
      <c r="I141" s="53"/>
      <c r="L141" t="str">
        <f>J115</f>
        <v>BIMENSUAL</v>
      </c>
      <c r="M141" s="11">
        <f>(1+$C$157)^(1/6)-1</f>
        <v>0.028767447689182823</v>
      </c>
      <c r="N141" s="9"/>
      <c r="O141" s="9"/>
      <c r="P141" s="9"/>
      <c r="Q141" s="9"/>
      <c r="R141" s="9"/>
    </row>
    <row r="142" spans="7:18" ht="12.75" hidden="1">
      <c r="G142" s="41"/>
      <c r="H142" s="60"/>
      <c r="I142" s="53"/>
      <c r="L142" t="str">
        <f>J116</f>
        <v>TRIMESTRAL</v>
      </c>
      <c r="M142" s="11">
        <f>(1+$C$157)^(1/4)-1</f>
        <v>0.0434600366905058</v>
      </c>
      <c r="N142" s="9"/>
      <c r="O142" s="9"/>
      <c r="P142" s="9"/>
      <c r="Q142" s="9"/>
      <c r="R142" s="9"/>
    </row>
    <row r="143" spans="2:18" ht="12.75" hidden="1">
      <c r="B143" s="8"/>
      <c r="C143" s="9"/>
      <c r="D143" s="9"/>
      <c r="E143" s="9"/>
      <c r="F143" s="9"/>
      <c r="G143" s="97"/>
      <c r="H143" s="81"/>
      <c r="I143" s="53"/>
      <c r="L143" t="str">
        <f>J117</f>
        <v>SEMESTRAL</v>
      </c>
      <c r="M143" s="11">
        <f>(1+$C$157)^(1/2)-1</f>
        <v>0.08880884817015167</v>
      </c>
      <c r="N143" s="9"/>
      <c r="O143" s="9"/>
      <c r="P143" s="9"/>
      <c r="Q143" s="9"/>
      <c r="R143" s="9"/>
    </row>
    <row r="144" spans="2:18" ht="14.25" customHeight="1" hidden="1">
      <c r="B144" s="11"/>
      <c r="C144" s="9"/>
      <c r="D144" s="9"/>
      <c r="E144" s="9"/>
      <c r="F144" s="9"/>
      <c r="G144" s="97"/>
      <c r="H144" s="81"/>
      <c r="I144" s="53"/>
      <c r="L144" t="str">
        <f>J118</f>
        <v>ANNUAL</v>
      </c>
      <c r="M144" s="11">
        <f>(1+$C$157)^(1/1)-1</f>
        <v>0.18550470785361228</v>
      </c>
      <c r="N144" s="9"/>
      <c r="O144" s="9"/>
      <c r="P144" s="9"/>
      <c r="Q144" s="9"/>
      <c r="R144" s="9"/>
    </row>
    <row r="145" spans="2:18" ht="12.75" hidden="1">
      <c r="B145" s="11"/>
      <c r="C145" s="9"/>
      <c r="D145" s="9"/>
      <c r="E145" s="9"/>
      <c r="F145" s="9"/>
      <c r="G145" s="97"/>
      <c r="H145" s="81"/>
      <c r="I145" s="53"/>
      <c r="M145" s="11"/>
      <c r="N145" s="9"/>
      <c r="O145" s="9"/>
      <c r="P145" s="9"/>
      <c r="Q145" s="9"/>
      <c r="R145" s="9"/>
    </row>
    <row r="146" spans="7:9" ht="12.75" hidden="1">
      <c r="G146" s="41"/>
      <c r="H146" s="60"/>
      <c r="I146" s="53"/>
    </row>
    <row r="147" spans="1:9" ht="12.75" hidden="1">
      <c r="A147" s="1"/>
      <c r="G147" s="41"/>
      <c r="H147" s="60"/>
      <c r="I147" s="53"/>
    </row>
    <row r="148" spans="1:9" ht="13.5" thickBot="1">
      <c r="A148" s="1"/>
      <c r="G148" s="41" t="s">
        <v>66</v>
      </c>
      <c r="H148" s="85">
        <v>0.08</v>
      </c>
      <c r="I148" s="53"/>
    </row>
    <row r="149" spans="1:9" ht="13.5" thickBot="1">
      <c r="A149" s="1"/>
      <c r="G149" s="59"/>
      <c r="H149" s="90"/>
      <c r="I149" s="53"/>
    </row>
    <row r="150" spans="1:9" ht="13.5" thickBot="1">
      <c r="A150" s="33" t="str">
        <f>A40</f>
        <v>BANCO 3</v>
      </c>
      <c r="B150" s="34"/>
      <c r="C150" s="34"/>
      <c r="D150" s="35"/>
      <c r="G150" s="62" t="s">
        <v>46</v>
      </c>
      <c r="H150" s="98">
        <f>(H111*(1+H112))/I110+H112</f>
        <v>0.4</v>
      </c>
      <c r="I150" s="99"/>
    </row>
    <row r="151" spans="1:4" ht="13.5" thickBot="1">
      <c r="A151" s="37" t="s">
        <v>28</v>
      </c>
      <c r="B151" s="38">
        <f>B40</f>
        <v>300000000</v>
      </c>
      <c r="C151" s="7"/>
      <c r="D151" s="39"/>
    </row>
    <row r="152" spans="1:4" ht="13.5" thickBot="1">
      <c r="A152" s="41" t="s">
        <v>39</v>
      </c>
      <c r="B152" s="38">
        <f>B151/(1-B161)</f>
        <v>300000000</v>
      </c>
      <c r="C152" s="7"/>
      <c r="D152" s="39"/>
    </row>
    <row r="153" spans="1:4" ht="13.5" thickBot="1">
      <c r="A153" s="41" t="s">
        <v>40</v>
      </c>
      <c r="B153" s="121" t="s">
        <v>13</v>
      </c>
      <c r="C153" s="44" t="s">
        <v>41</v>
      </c>
      <c r="D153" s="122" t="s">
        <v>21</v>
      </c>
    </row>
    <row r="154" spans="1:4" ht="13.5" thickBot="1">
      <c r="A154" s="41" t="s">
        <v>43</v>
      </c>
      <c r="B154" s="28">
        <v>0.1</v>
      </c>
      <c r="C154" s="46"/>
      <c r="D154" s="47">
        <v>0.08</v>
      </c>
    </row>
    <row r="155" spans="1:4" ht="13.5" hidden="1" thickBot="1">
      <c r="A155" s="41"/>
      <c r="B155" s="48">
        <f>VLOOKUP(D153,L113:R123,2,0)</f>
        <v>0.09761769634030326</v>
      </c>
      <c r="C155" s="46"/>
      <c r="D155" s="49">
        <f>D154</f>
        <v>0.08</v>
      </c>
    </row>
    <row r="156" spans="1:4" ht="13.5" hidden="1" thickBot="1">
      <c r="A156" s="41"/>
      <c r="B156" s="23"/>
      <c r="C156" s="51">
        <f>IF(B153="efectiva",B154,B155+D155)</f>
        <v>0.17761769634030328</v>
      </c>
      <c r="D156" s="52" t="str">
        <f>D153</f>
        <v>ASV</v>
      </c>
    </row>
    <row r="157" spans="1:4" ht="13.5" hidden="1" thickBot="1">
      <c r="A157" s="41"/>
      <c r="B157" s="23"/>
      <c r="C157" s="54">
        <f>IF(B153="efectiva",C156,VLOOKUP(D156,L126:R136,7,0))</f>
        <v>0.18550470785361228</v>
      </c>
      <c r="D157" s="52" t="s">
        <v>8</v>
      </c>
    </row>
    <row r="158" spans="1:4" ht="13.5" thickBot="1">
      <c r="A158" s="56" t="s">
        <v>47</v>
      </c>
      <c r="B158" s="57">
        <f>VLOOKUP(B159,L140:M144,2,0)</f>
        <v>0.014281739798751802</v>
      </c>
      <c r="C158" s="7"/>
      <c r="D158" s="39"/>
    </row>
    <row r="159" spans="1:4" ht="13.5" thickBot="1">
      <c r="A159" s="41" t="s">
        <v>49</v>
      </c>
      <c r="B159" s="43" t="s">
        <v>10</v>
      </c>
      <c r="C159" s="7"/>
      <c r="D159" s="39"/>
    </row>
    <row r="160" spans="1:4" ht="13.5" thickBot="1">
      <c r="A160" s="41" t="s">
        <v>50</v>
      </c>
      <c r="B160" s="61">
        <v>45</v>
      </c>
      <c r="C160" s="6" t="s">
        <v>51</v>
      </c>
      <c r="D160" s="39"/>
    </row>
    <row r="161" spans="1:4" ht="26.25" thickBot="1">
      <c r="A161" s="41" t="s">
        <v>52</v>
      </c>
      <c r="B161" s="64">
        <v>0</v>
      </c>
      <c r="C161" s="6" t="s">
        <v>22</v>
      </c>
      <c r="D161" s="39"/>
    </row>
    <row r="162" spans="1:4" ht="26.25" thickBot="1">
      <c r="A162" s="41" t="s">
        <v>53</v>
      </c>
      <c r="B162" s="64">
        <v>0</v>
      </c>
      <c r="C162" s="6" t="s">
        <v>22</v>
      </c>
      <c r="D162" s="39"/>
    </row>
    <row r="163" spans="1:4" ht="13.5" thickBot="1">
      <c r="A163" s="100" t="s">
        <v>55</v>
      </c>
      <c r="B163" s="66">
        <f>VLOOKUP(B159,A166:C170,3,0)</f>
        <v>0.11726494926593944</v>
      </c>
      <c r="C163" s="67"/>
      <c r="D163" s="68"/>
    </row>
    <row r="164" ht="12.75">
      <c r="A164" s="1"/>
    </row>
    <row r="165" ht="12.75" hidden="1">
      <c r="A165" s="1"/>
    </row>
    <row r="166" spans="1:3" ht="12.75" hidden="1">
      <c r="A166" t="s">
        <v>10</v>
      </c>
      <c r="B166" s="78">
        <f>J384</f>
        <v>0.009283130869188817</v>
      </c>
      <c r="C166" s="9">
        <f>(1+B166)^12-1</f>
        <v>0.11726494926593944</v>
      </c>
    </row>
    <row r="167" spans="1:3" ht="12.75" hidden="1">
      <c r="A167" t="s">
        <v>15</v>
      </c>
      <c r="B167" s="78">
        <f>B166</f>
        <v>0.009283130869188817</v>
      </c>
      <c r="C167" s="9">
        <f>(1+B167)^6-1</f>
        <v>0.05700754456434187</v>
      </c>
    </row>
    <row r="168" spans="1:3" ht="12.75" hidden="1">
      <c r="A168" t="s">
        <v>18</v>
      </c>
      <c r="B168" s="78">
        <f>B167</f>
        <v>0.009283130869188817</v>
      </c>
      <c r="C168" s="9">
        <f>(1+B168)^4-1</f>
        <v>0.03765278996715948</v>
      </c>
    </row>
    <row r="169" spans="1:3" ht="12.75" hidden="1">
      <c r="A169" t="s">
        <v>20</v>
      </c>
      <c r="B169" s="78">
        <f>B168</f>
        <v>0.009283130869188817</v>
      </c>
      <c r="C169" s="9">
        <f>(1+B169)^2-1</f>
        <v>0.018652438257112047</v>
      </c>
    </row>
    <row r="170" spans="1:3" ht="12.75" hidden="1">
      <c r="A170" t="s">
        <v>22</v>
      </c>
      <c r="B170" s="78">
        <f>B169</f>
        <v>0.009283130869188817</v>
      </c>
      <c r="C170" s="9">
        <f>(1+B170)^1-1</f>
        <v>0.00928313086918875</v>
      </c>
    </row>
    <row r="171" ht="12.75" hidden="1">
      <c r="A171" s="1"/>
    </row>
    <row r="172" ht="12.75" hidden="1">
      <c r="A172" s="1"/>
    </row>
    <row r="173" ht="12.75" hidden="1">
      <c r="A173" s="1"/>
    </row>
    <row r="174" ht="12.75" hidden="1">
      <c r="A174" s="1"/>
    </row>
    <row r="175" ht="12.75" hidden="1">
      <c r="A175" s="1"/>
    </row>
    <row r="176" ht="12.75" hidden="1">
      <c r="A176" s="1"/>
    </row>
    <row r="177" ht="12.75" hidden="1">
      <c r="A177" s="1"/>
    </row>
    <row r="178" ht="12.75" hidden="1">
      <c r="A178" s="1"/>
    </row>
    <row r="179" ht="12.75" hidden="1">
      <c r="A179" s="1"/>
    </row>
    <row r="180" ht="12.75" hidden="1">
      <c r="A180" s="1"/>
    </row>
    <row r="181" ht="12.75" hidden="1">
      <c r="A181" s="1"/>
    </row>
    <row r="182" spans="1:9" ht="12.75" hidden="1">
      <c r="A182" s="1" t="str">
        <f>A48</f>
        <v>BANCO 1</v>
      </c>
      <c r="I182" s="78"/>
    </row>
    <row r="183" ht="12.75" hidden="1">
      <c r="A183" s="1"/>
    </row>
    <row r="184" spans="1:10" ht="12.75" hidden="1">
      <c r="A184" s="1" t="s">
        <v>67</v>
      </c>
      <c r="B184" t="s">
        <v>28</v>
      </c>
      <c r="C184" t="s">
        <v>68</v>
      </c>
      <c r="D184" t="s">
        <v>69</v>
      </c>
      <c r="E184" t="s">
        <v>70</v>
      </c>
      <c r="G184" s="1" t="s">
        <v>71</v>
      </c>
      <c r="H184" s="1" t="s">
        <v>72</v>
      </c>
      <c r="I184" t="s">
        <v>71</v>
      </c>
      <c r="J184" t="s">
        <v>73</v>
      </c>
    </row>
    <row r="185" spans="1:12" ht="12.75" hidden="1">
      <c r="A185" s="1">
        <v>0</v>
      </c>
      <c r="B185" s="101">
        <f>B50</f>
        <v>400000000</v>
      </c>
      <c r="C185" s="101"/>
      <c r="D185" s="101"/>
      <c r="E185" s="101">
        <f>B185*B161</f>
        <v>0</v>
      </c>
      <c r="F185" s="101"/>
      <c r="G185" s="102">
        <f>B185-E185</f>
        <v>400000000</v>
      </c>
      <c r="H185" s="102">
        <f aca="true" t="shared" si="23" ref="H185:H245">IF(A185&gt;$B$58,"",(E185+C185)*$F$38)</f>
        <v>0</v>
      </c>
      <c r="I185" s="103">
        <f>G185+H185</f>
        <v>400000000</v>
      </c>
      <c r="J185" s="104">
        <f>I185</f>
        <v>400000000</v>
      </c>
      <c r="L185" s="103">
        <f>J185</f>
        <v>400000000</v>
      </c>
    </row>
    <row r="186" spans="1:13" ht="12.75" hidden="1">
      <c r="A186" s="1">
        <v>1</v>
      </c>
      <c r="B186" s="101">
        <f>IF(A186&gt;$B$58,"",B185+C186-D186)</f>
        <v>394622903.40472925</v>
      </c>
      <c r="C186" s="101">
        <f>IF(A186&gt;$B$58,"",B185*$B$56)</f>
        <v>2824282.1117163254</v>
      </c>
      <c r="D186" s="101">
        <f>IF(A186&gt;$B$58,"",$B$185/((((1+$B$56)^$B$58-1)/($B$56*(1+$B$56)^$B$58))))</f>
        <v>8201378.706987088</v>
      </c>
      <c r="E186" s="101"/>
      <c r="F186" s="101"/>
      <c r="G186" s="102">
        <f>IF(A186&gt;$B$58,"",-D186-E186)</f>
        <v>-8201378.706987088</v>
      </c>
      <c r="H186" s="102">
        <f t="shared" si="23"/>
        <v>988498.7391007139</v>
      </c>
      <c r="I186" s="103">
        <f aca="true" t="shared" si="24" ref="I186:I245">IF(A186&gt;$B$58,"",G186+H186)</f>
        <v>-7212879.967886373</v>
      </c>
      <c r="L186" s="103">
        <f>J197</f>
        <v>-87452549.23666133</v>
      </c>
      <c r="M186" s="105"/>
    </row>
    <row r="187" spans="1:12" ht="12.75" hidden="1">
      <c r="A187" s="1">
        <v>2</v>
      </c>
      <c r="B187" s="101">
        <f aca="true" t="shared" si="25" ref="B187:B245">IF(A187&gt;$B$58,"",B186+C187-D187)</f>
        <v>389207840.715141</v>
      </c>
      <c r="C187" s="101">
        <f aca="true" t="shared" si="26" ref="C187:C245">IF(A187&gt;$B$58,"",B186*$B$56)</f>
        <v>2786316.0173988403</v>
      </c>
      <c r="D187" s="101">
        <f aca="true" t="shared" si="27" ref="D187:D245">IF(A187&gt;$B$58,"",$B$185/((((1+$B$56)^$B$58-1)/($B$56*(1+$B$56)^$B$58))))</f>
        <v>8201378.706987088</v>
      </c>
      <c r="E187" s="101"/>
      <c r="F187" s="101"/>
      <c r="G187" s="102">
        <f aca="true" t="shared" si="28" ref="G187:G245">IF(A187&gt;$B$58,"",-D187-E187)</f>
        <v>-8201378.706987088</v>
      </c>
      <c r="H187" s="102">
        <f t="shared" si="23"/>
        <v>975210.6060895941</v>
      </c>
      <c r="I187" s="103">
        <f t="shared" si="24"/>
        <v>-7226168.100897494</v>
      </c>
      <c r="L187" s="103">
        <f>J209</f>
        <v>-89521236.29632936</v>
      </c>
    </row>
    <row r="188" spans="1:13" ht="12.75" hidden="1">
      <c r="A188" s="1">
        <v>3</v>
      </c>
      <c r="B188" s="101">
        <f t="shared" si="25"/>
        <v>383754543.8638327</v>
      </c>
      <c r="C188" s="101">
        <f t="shared" si="26"/>
        <v>2748081.855678774</v>
      </c>
      <c r="D188" s="101">
        <f t="shared" si="27"/>
        <v>8201378.706987088</v>
      </c>
      <c r="E188" s="101"/>
      <c r="F188" s="101"/>
      <c r="G188" s="102">
        <f t="shared" si="28"/>
        <v>-8201378.706987088</v>
      </c>
      <c r="H188" s="102">
        <f t="shared" si="23"/>
        <v>961828.6494875709</v>
      </c>
      <c r="I188" s="103">
        <f t="shared" si="24"/>
        <v>-7239550.057499517</v>
      </c>
      <c r="L188" s="103">
        <f>J221</f>
        <v>-91772169.47866929</v>
      </c>
      <c r="M188" s="11"/>
    </row>
    <row r="189" spans="1:12" ht="12.75" hidden="1">
      <c r="A189" s="1">
        <v>4</v>
      </c>
      <c r="B189" s="101">
        <f t="shared" si="25"/>
        <v>378262742.8906568</v>
      </c>
      <c r="C189" s="101">
        <f t="shared" si="26"/>
        <v>2709577.7338112015</v>
      </c>
      <c r="D189" s="101">
        <f t="shared" si="27"/>
        <v>8201378.706987088</v>
      </c>
      <c r="E189" s="101"/>
      <c r="F189" s="101"/>
      <c r="G189" s="102">
        <f t="shared" si="28"/>
        <v>-8201378.706987088</v>
      </c>
      <c r="H189" s="102">
        <f t="shared" si="23"/>
        <v>948352.2068339204</v>
      </c>
      <c r="I189" s="103">
        <f t="shared" si="24"/>
        <v>-7253026.500153167</v>
      </c>
      <c r="L189" s="103">
        <f>J233</f>
        <v>-94221404.20833972</v>
      </c>
    </row>
    <row r="190" spans="1:12" ht="12.75" hidden="1">
      <c r="A190" s="1">
        <v>5</v>
      </c>
      <c r="B190" s="101">
        <f t="shared" si="25"/>
        <v>372732165.9293568</v>
      </c>
      <c r="C190" s="101">
        <f t="shared" si="26"/>
        <v>2670801.7456870843</v>
      </c>
      <c r="D190" s="101">
        <f t="shared" si="27"/>
        <v>8201378.706987088</v>
      </c>
      <c r="E190" s="101"/>
      <c r="F190" s="101"/>
      <c r="G190" s="102">
        <f t="shared" si="28"/>
        <v>-8201378.706987088</v>
      </c>
      <c r="H190" s="102">
        <f t="shared" si="23"/>
        <v>934780.6109904795</v>
      </c>
      <c r="I190" s="103">
        <f t="shared" si="24"/>
        <v>-7266598.095996608</v>
      </c>
      <c r="L190" s="103">
        <f>J245</f>
        <v>-96886410.35249725</v>
      </c>
    </row>
    <row r="191" spans="1:9" ht="12.75" hidden="1">
      <c r="A191" s="1">
        <v>6</v>
      </c>
      <c r="B191" s="101">
        <f t="shared" si="25"/>
        <v>367162539.19410866</v>
      </c>
      <c r="C191" s="101">
        <f t="shared" si="26"/>
        <v>2631751.971738909</v>
      </c>
      <c r="D191" s="101">
        <f t="shared" si="27"/>
        <v>8201378.706987088</v>
      </c>
      <c r="E191" s="101"/>
      <c r="F191" s="101"/>
      <c r="G191" s="102">
        <f t="shared" si="28"/>
        <v>-8201378.706987088</v>
      </c>
      <c r="H191" s="102">
        <f t="shared" si="23"/>
        <v>921113.190108618</v>
      </c>
      <c r="I191" s="103">
        <f t="shared" si="24"/>
        <v>-7280265.51687847</v>
      </c>
    </row>
    <row r="192" spans="1:9" ht="12.75" hidden="1">
      <c r="A192" s="1">
        <v>7</v>
      </c>
      <c r="B192" s="101">
        <f t="shared" si="25"/>
        <v>361553586.96596724</v>
      </c>
      <c r="C192" s="101">
        <f t="shared" si="26"/>
        <v>2592426.4788456634</v>
      </c>
      <c r="D192" s="101">
        <f t="shared" si="27"/>
        <v>8201378.706987088</v>
      </c>
      <c r="E192" s="101"/>
      <c r="F192" s="101"/>
      <c r="G192" s="102">
        <f t="shared" si="28"/>
        <v>-8201378.706987088</v>
      </c>
      <c r="H192" s="102">
        <f t="shared" si="23"/>
        <v>907349.2675959822</v>
      </c>
      <c r="I192" s="103">
        <f t="shared" si="24"/>
        <v>-7294029.439391105</v>
      </c>
    </row>
    <row r="193" spans="1:9" ht="12.75" hidden="1">
      <c r="A193" s="1">
        <v>8</v>
      </c>
      <c r="B193" s="101">
        <f t="shared" si="25"/>
        <v>355905031.5792173</v>
      </c>
      <c r="C193" s="101">
        <f t="shared" si="26"/>
        <v>2552823.320237135</v>
      </c>
      <c r="D193" s="101">
        <f t="shared" si="27"/>
        <v>8201378.706987088</v>
      </c>
      <c r="E193" s="101"/>
      <c r="F193" s="101"/>
      <c r="G193" s="102">
        <f t="shared" si="28"/>
        <v>-8201378.706987088</v>
      </c>
      <c r="H193" s="102">
        <f t="shared" si="23"/>
        <v>893488.1620829973</v>
      </c>
      <c r="I193" s="103">
        <f t="shared" si="24"/>
        <v>-7307890.54490409</v>
      </c>
    </row>
    <row r="194" spans="1:9" ht="12.75" hidden="1">
      <c r="A194" s="1">
        <v>9</v>
      </c>
      <c r="B194" s="101">
        <f t="shared" si="25"/>
        <v>350216593.40762776</v>
      </c>
      <c r="C194" s="101">
        <f t="shared" si="26"/>
        <v>2512940.535397543</v>
      </c>
      <c r="D194" s="101">
        <f t="shared" si="27"/>
        <v>8201378.706987088</v>
      </c>
      <c r="E194" s="101"/>
      <c r="F194" s="101"/>
      <c r="G194" s="102">
        <f t="shared" si="28"/>
        <v>-8201378.706987088</v>
      </c>
      <c r="H194" s="102">
        <f t="shared" si="23"/>
        <v>879529.18738914</v>
      </c>
      <c r="I194" s="103">
        <f t="shared" si="24"/>
        <v>-7321849.519597948</v>
      </c>
    </row>
    <row r="195" spans="1:9" ht="12.75" hidden="1">
      <c r="A195" s="1">
        <v>10</v>
      </c>
      <c r="B195" s="101">
        <f t="shared" si="25"/>
        <v>344487990.8506092</v>
      </c>
      <c r="C195" s="101">
        <f t="shared" si="26"/>
        <v>2472776.1499684816</v>
      </c>
      <c r="D195" s="101">
        <f t="shared" si="27"/>
        <v>8201378.706987088</v>
      </c>
      <c r="E195" s="101"/>
      <c r="F195" s="101"/>
      <c r="G195" s="102">
        <f t="shared" si="28"/>
        <v>-8201378.706987088</v>
      </c>
      <c r="H195" s="102">
        <f t="shared" si="23"/>
        <v>865471.6524889686</v>
      </c>
      <c r="I195" s="103">
        <f t="shared" si="24"/>
        <v>-7335907.054498119</v>
      </c>
    </row>
    <row r="196" spans="1:9" ht="12.75" hidden="1">
      <c r="A196" s="1">
        <v>11</v>
      </c>
      <c r="B196" s="101">
        <f t="shared" si="25"/>
        <v>338718940.3192733</v>
      </c>
      <c r="C196" s="101">
        <f t="shared" si="26"/>
        <v>2432328.1756511815</v>
      </c>
      <c r="D196" s="101">
        <f t="shared" si="27"/>
        <v>8201378.706987088</v>
      </c>
      <c r="E196" s="101"/>
      <c r="F196" s="101"/>
      <c r="G196" s="102">
        <f t="shared" si="28"/>
        <v>-8201378.706987088</v>
      </c>
      <c r="H196" s="102">
        <f t="shared" si="23"/>
        <v>851314.8614779135</v>
      </c>
      <c r="I196" s="103">
        <f t="shared" si="24"/>
        <v>-7350063.845509174</v>
      </c>
    </row>
    <row r="197" spans="1:10" s="108" customFormat="1" ht="12.75" hidden="1">
      <c r="A197" s="106">
        <v>12</v>
      </c>
      <c r="B197" s="101">
        <f t="shared" si="25"/>
        <v>332909156.2223943</v>
      </c>
      <c r="C197" s="101">
        <f t="shared" si="26"/>
        <v>2391594.6101080826</v>
      </c>
      <c r="D197" s="101">
        <f t="shared" si="27"/>
        <v>8201378.706987088</v>
      </c>
      <c r="E197" s="107">
        <f>IF(A197&gt;$B$58,"",B185*$B$60)</f>
        <v>0</v>
      </c>
      <c r="F197" s="107"/>
      <c r="G197" s="102">
        <f t="shared" si="28"/>
        <v>-8201378.706987088</v>
      </c>
      <c r="H197" s="102">
        <f t="shared" si="23"/>
        <v>837058.1135378289</v>
      </c>
      <c r="I197" s="103">
        <f t="shared" si="24"/>
        <v>-7364320.593449259</v>
      </c>
      <c r="J197" s="104">
        <f>SUM(I186:I197)</f>
        <v>-87452549.23666133</v>
      </c>
    </row>
    <row r="198" spans="1:9" ht="12.75" hidden="1">
      <c r="A198" s="1">
        <v>13</v>
      </c>
      <c r="B198" s="101">
        <f t="shared" si="25"/>
        <v>327058350.9522709</v>
      </c>
      <c r="C198" s="101">
        <f t="shared" si="26"/>
        <v>2350573.4368637092</v>
      </c>
      <c r="D198" s="101">
        <f t="shared" si="27"/>
        <v>8201378.706987088</v>
      </c>
      <c r="E198" s="101"/>
      <c r="F198" s="101"/>
      <c r="G198" s="102">
        <f t="shared" si="28"/>
        <v>-8201378.706987088</v>
      </c>
      <c r="H198" s="102">
        <f t="shared" si="23"/>
        <v>822700.7029022982</v>
      </c>
      <c r="I198" s="103">
        <f t="shared" si="24"/>
        <v>-7378678.004084789</v>
      </c>
    </row>
    <row r="199" spans="1:9" ht="12.75" hidden="1">
      <c r="A199" s="1">
        <v>14</v>
      </c>
      <c r="B199" s="101">
        <f t="shared" si="25"/>
        <v>321166234.8704887</v>
      </c>
      <c r="C199" s="101">
        <f t="shared" si="26"/>
        <v>2309262.6252048467</v>
      </c>
      <c r="D199" s="101">
        <f t="shared" si="27"/>
        <v>8201378.706987088</v>
      </c>
      <c r="E199" s="101"/>
      <c r="F199" s="101"/>
      <c r="G199" s="102">
        <f t="shared" si="28"/>
        <v>-8201378.706987088</v>
      </c>
      <c r="H199" s="102">
        <f t="shared" si="23"/>
        <v>808241.9188216963</v>
      </c>
      <c r="I199" s="103">
        <f t="shared" si="24"/>
        <v>-7393136.788165391</v>
      </c>
    </row>
    <row r="200" spans="1:9" ht="12.75" hidden="1">
      <c r="A200" s="1">
        <v>15</v>
      </c>
      <c r="B200" s="101">
        <f t="shared" si="25"/>
        <v>315232516.2935816</v>
      </c>
      <c r="C200" s="101">
        <f t="shared" si="26"/>
        <v>2267660.1300800126</v>
      </c>
      <c r="D200" s="101">
        <f t="shared" si="27"/>
        <v>8201378.706987088</v>
      </c>
      <c r="E200" s="101"/>
      <c r="F200" s="101"/>
      <c r="G200" s="102">
        <f t="shared" si="28"/>
        <v>-8201378.706987088</v>
      </c>
      <c r="H200" s="102">
        <f t="shared" si="23"/>
        <v>793681.0455280044</v>
      </c>
      <c r="I200" s="103">
        <f t="shared" si="24"/>
        <v>-7407697.661459083</v>
      </c>
    </row>
    <row r="201" spans="1:9" ht="12.75" hidden="1">
      <c r="A201" s="1">
        <v>16</v>
      </c>
      <c r="B201" s="101">
        <f t="shared" si="25"/>
        <v>309256901.47859275</v>
      </c>
      <c r="C201" s="101">
        <f t="shared" si="26"/>
        <v>2225763.891998219</v>
      </c>
      <c r="D201" s="101">
        <f t="shared" si="27"/>
        <v>8201378.706987088</v>
      </c>
      <c r="E201" s="101"/>
      <c r="F201" s="101"/>
      <c r="G201" s="102">
        <f t="shared" si="28"/>
        <v>-8201378.706987088</v>
      </c>
      <c r="H201" s="102">
        <f t="shared" si="23"/>
        <v>779017.3621993766</v>
      </c>
      <c r="I201" s="103">
        <f t="shared" si="24"/>
        <v>-7422361.344787711</v>
      </c>
    </row>
    <row r="202" spans="1:9" ht="12.75" hidden="1">
      <c r="A202" s="1">
        <v>17</v>
      </c>
      <c r="B202" s="101">
        <f t="shared" si="25"/>
        <v>303239094.60853267</v>
      </c>
      <c r="C202" s="101">
        <f t="shared" si="26"/>
        <v>2183571.8369270186</v>
      </c>
      <c r="D202" s="101">
        <f t="shared" si="27"/>
        <v>8201378.706987088</v>
      </c>
      <c r="E202" s="101"/>
      <c r="F202" s="101"/>
      <c r="G202" s="102">
        <f t="shared" si="28"/>
        <v>-8201378.706987088</v>
      </c>
      <c r="H202" s="102">
        <f t="shared" si="23"/>
        <v>764250.1429244565</v>
      </c>
      <c r="I202" s="103">
        <f t="shared" si="24"/>
        <v>-7437128.564062631</v>
      </c>
    </row>
    <row r="203" spans="1:9" ht="12.75" hidden="1">
      <c r="A203" s="1">
        <v>18</v>
      </c>
      <c r="B203" s="101">
        <f t="shared" si="25"/>
        <v>297178797.7777354</v>
      </c>
      <c r="C203" s="101">
        <f t="shared" si="26"/>
        <v>2141081.876189833</v>
      </c>
      <c r="D203" s="101">
        <f t="shared" si="27"/>
        <v>8201378.706987088</v>
      </c>
      <c r="E203" s="101"/>
      <c r="F203" s="101"/>
      <c r="G203" s="102">
        <f t="shared" si="28"/>
        <v>-8201378.706987088</v>
      </c>
      <c r="H203" s="102">
        <f t="shared" si="23"/>
        <v>749378.6566664415</v>
      </c>
      <c r="I203" s="103">
        <f t="shared" si="24"/>
        <v>-7452000.050320646</v>
      </c>
    </row>
    <row r="204" spans="1:9" ht="12.75" hidden="1">
      <c r="A204" s="1">
        <v>19</v>
      </c>
      <c r="B204" s="101">
        <f t="shared" si="25"/>
        <v>291075710.97711086</v>
      </c>
      <c r="C204" s="101">
        <f t="shared" si="26"/>
        <v>2098291.9063625536</v>
      </c>
      <c r="D204" s="101">
        <f t="shared" si="27"/>
        <v>8201378.706987088</v>
      </c>
      <c r="E204" s="101"/>
      <c r="F204" s="101"/>
      <c r="G204" s="102">
        <f t="shared" si="28"/>
        <v>-8201378.706987088</v>
      </c>
      <c r="H204" s="102">
        <f t="shared" si="23"/>
        <v>734402.1672268937</v>
      </c>
      <c r="I204" s="103">
        <f t="shared" si="24"/>
        <v>-7466976.539760194</v>
      </c>
    </row>
    <row r="205" spans="1:9" ht="12.75" hidden="1">
      <c r="A205" s="1">
        <v>20</v>
      </c>
      <c r="B205" s="101">
        <f t="shared" si="25"/>
        <v>284929532.0792932</v>
      </c>
      <c r="C205" s="101">
        <f t="shared" si="26"/>
        <v>2055199.8091694135</v>
      </c>
      <c r="D205" s="101">
        <f t="shared" si="27"/>
        <v>8201378.706987088</v>
      </c>
      <c r="E205" s="101"/>
      <c r="F205" s="101"/>
      <c r="G205" s="102">
        <f t="shared" si="28"/>
        <v>-8201378.706987088</v>
      </c>
      <c r="H205" s="102">
        <f t="shared" si="23"/>
        <v>719319.9332092947</v>
      </c>
      <c r="I205" s="103">
        <f t="shared" si="24"/>
        <v>-7482058.773777793</v>
      </c>
    </row>
    <row r="206" spans="1:9" ht="12.75" hidden="1">
      <c r="A206" s="1">
        <v>21</v>
      </c>
      <c r="B206" s="101">
        <f t="shared" si="25"/>
        <v>278739956.8236842</v>
      </c>
      <c r="C206" s="101">
        <f t="shared" si="26"/>
        <v>2011803.4513781266</v>
      </c>
      <c r="D206" s="101">
        <f t="shared" si="27"/>
        <v>8201378.706987088</v>
      </c>
      <c r="E206" s="101"/>
      <c r="F206" s="101"/>
      <c r="G206" s="102">
        <f t="shared" si="28"/>
        <v>-8201378.706987088</v>
      </c>
      <c r="H206" s="102">
        <f t="shared" si="23"/>
        <v>704131.2079823443</v>
      </c>
      <c r="I206" s="103">
        <f t="shared" si="24"/>
        <v>-7497247.499004743</v>
      </c>
    </row>
    <row r="207" spans="1:9" ht="12.75" hidden="1">
      <c r="A207" s="1">
        <v>22</v>
      </c>
      <c r="B207" s="101">
        <f t="shared" si="25"/>
        <v>272506678.8013914</v>
      </c>
      <c r="C207" s="101">
        <f t="shared" si="26"/>
        <v>1968100.6846942804</v>
      </c>
      <c r="D207" s="101">
        <f t="shared" si="27"/>
        <v>8201378.706987088</v>
      </c>
      <c r="E207" s="101"/>
      <c r="F207" s="101"/>
      <c r="G207" s="102">
        <f t="shared" si="28"/>
        <v>-8201378.706987088</v>
      </c>
      <c r="H207" s="102">
        <f t="shared" si="23"/>
        <v>688835.2396429981</v>
      </c>
      <c r="I207" s="103">
        <f t="shared" si="24"/>
        <v>-7512543.467344089</v>
      </c>
    </row>
    <row r="208" spans="1:9" ht="12.75" hidden="1">
      <c r="A208" s="1">
        <v>23</v>
      </c>
      <c r="B208" s="101">
        <f t="shared" si="25"/>
        <v>266229389.4400593</v>
      </c>
      <c r="C208" s="101">
        <f t="shared" si="26"/>
        <v>1924089.3456549903</v>
      </c>
      <c r="D208" s="101">
        <f t="shared" si="27"/>
        <v>8201378.706987088</v>
      </c>
      <c r="E208" s="101"/>
      <c r="F208" s="101"/>
      <c r="G208" s="102">
        <f t="shared" si="28"/>
        <v>-8201378.706987088</v>
      </c>
      <c r="H208" s="102">
        <f t="shared" si="23"/>
        <v>673431.2709792466</v>
      </c>
      <c r="I208" s="103">
        <f t="shared" si="24"/>
        <v>-7527947.436007841</v>
      </c>
    </row>
    <row r="209" spans="1:10" s="108" customFormat="1" ht="12.75" hidden="1">
      <c r="A209" s="106">
        <v>24</v>
      </c>
      <c r="B209" s="101">
        <f t="shared" si="25"/>
        <v>259907777.98859403</v>
      </c>
      <c r="C209" s="101">
        <f t="shared" si="26"/>
        <v>1879767.2555217966</v>
      </c>
      <c r="D209" s="101">
        <f t="shared" si="27"/>
        <v>8201378.706987088</v>
      </c>
      <c r="E209" s="107">
        <f>IF(A209&gt;$B$58,"",B197*$B$60)</f>
        <v>0</v>
      </c>
      <c r="F209" s="107"/>
      <c r="G209" s="102">
        <f t="shared" si="28"/>
        <v>-8201378.706987088</v>
      </c>
      <c r="H209" s="102">
        <f t="shared" si="23"/>
        <v>657918.5394326288</v>
      </c>
      <c r="I209" s="103">
        <f t="shared" si="24"/>
        <v>-7543460.167554459</v>
      </c>
      <c r="J209" s="104">
        <f>SUM(I198:I209)</f>
        <v>-89521236.29632936</v>
      </c>
    </row>
    <row r="210" spans="1:9" ht="12.75" hidden="1">
      <c r="A210" s="1">
        <v>25</v>
      </c>
      <c r="B210" s="101">
        <f t="shared" si="25"/>
        <v>253541531.50177976</v>
      </c>
      <c r="C210" s="101">
        <f t="shared" si="26"/>
        <v>1835132.2201728104</v>
      </c>
      <c r="D210" s="101">
        <f t="shared" si="27"/>
        <v>8201378.706987088</v>
      </c>
      <c r="E210" s="101"/>
      <c r="F210" s="101"/>
      <c r="G210" s="102">
        <f t="shared" si="28"/>
        <v>-8201378.706987088</v>
      </c>
      <c r="H210" s="102">
        <f t="shared" si="23"/>
        <v>642296.2770604836</v>
      </c>
      <c r="I210" s="103">
        <f t="shared" si="24"/>
        <v>-7559082.429926604</v>
      </c>
    </row>
    <row r="211" spans="1:9" ht="12.75" hidden="1">
      <c r="A211" s="1">
        <v>26</v>
      </c>
      <c r="B211" s="101">
        <f t="shared" si="25"/>
        <v>247130334.82478678</v>
      </c>
      <c r="C211" s="101">
        <f t="shared" si="26"/>
        <v>1790182.0299940945</v>
      </c>
      <c r="D211" s="101">
        <f t="shared" si="27"/>
        <v>8201378.706987088</v>
      </c>
      <c r="E211" s="101"/>
      <c r="F211" s="101"/>
      <c r="G211" s="102">
        <f t="shared" si="28"/>
        <v>-8201378.706987088</v>
      </c>
      <c r="H211" s="102">
        <f t="shared" si="23"/>
        <v>626563.7104979331</v>
      </c>
      <c r="I211" s="103">
        <f t="shared" si="24"/>
        <v>-7574814.996489154</v>
      </c>
    </row>
    <row r="212" spans="1:9" ht="12.75" hidden="1">
      <c r="A212" s="1">
        <v>27</v>
      </c>
      <c r="B212" s="101">
        <f t="shared" si="25"/>
        <v>240673870.57757</v>
      </c>
      <c r="C212" s="101">
        <f t="shared" si="26"/>
        <v>1744914.4597702783</v>
      </c>
      <c r="D212" s="101">
        <f t="shared" si="27"/>
        <v>8201378.706987088</v>
      </c>
      <c r="E212" s="101"/>
      <c r="F212" s="101"/>
      <c r="G212" s="102">
        <f t="shared" si="28"/>
        <v>-8201378.706987088</v>
      </c>
      <c r="H212" s="102">
        <f t="shared" si="23"/>
        <v>610720.0609195974</v>
      </c>
      <c r="I212" s="103">
        <f t="shared" si="24"/>
        <v>-7590658.64606749</v>
      </c>
    </row>
    <row r="213" spans="1:9" ht="12.75" hidden="1">
      <c r="A213" s="1">
        <v>28</v>
      </c>
      <c r="B213" s="101">
        <f t="shared" si="25"/>
        <v>234171819.13915733</v>
      </c>
      <c r="C213" s="101">
        <f t="shared" si="26"/>
        <v>1699327.2685744024</v>
      </c>
      <c r="D213" s="101">
        <f t="shared" si="27"/>
        <v>8201378.706987088</v>
      </c>
      <c r="E213" s="101"/>
      <c r="F213" s="101"/>
      <c r="G213" s="102">
        <f t="shared" si="28"/>
        <v>-8201378.706987088</v>
      </c>
      <c r="H213" s="102">
        <f t="shared" si="23"/>
        <v>594764.5440010409</v>
      </c>
      <c r="I213" s="103">
        <f t="shared" si="24"/>
        <v>-7606614.162986047</v>
      </c>
    </row>
    <row r="214" spans="1:9" ht="12.75" hidden="1">
      <c r="A214" s="1">
        <v>29</v>
      </c>
      <c r="B214" s="101">
        <f t="shared" si="25"/>
        <v>227623858.63182724</v>
      </c>
      <c r="C214" s="101">
        <f t="shared" si="26"/>
        <v>1653418.1996569815</v>
      </c>
      <c r="D214" s="101">
        <f t="shared" si="27"/>
        <v>8201378.706987088</v>
      </c>
      <c r="E214" s="101"/>
      <c r="F214" s="101"/>
      <c r="G214" s="102">
        <f t="shared" si="28"/>
        <v>-8201378.706987088</v>
      </c>
      <c r="H214" s="102">
        <f t="shared" si="23"/>
        <v>578696.3698799434</v>
      </c>
      <c r="I214" s="103">
        <f t="shared" si="24"/>
        <v>-7622682.337107144</v>
      </c>
    </row>
    <row r="215" spans="1:9" ht="12.75" hidden="1">
      <c r="A215" s="1">
        <v>30</v>
      </c>
      <c r="B215" s="101">
        <f t="shared" si="25"/>
        <v>221029664.90517443</v>
      </c>
      <c r="C215" s="101">
        <f t="shared" si="26"/>
        <v>1607184.9803342882</v>
      </c>
      <c r="D215" s="101">
        <f t="shared" si="27"/>
        <v>8201378.706987088</v>
      </c>
      <c r="E215" s="101"/>
      <c r="F215" s="101"/>
      <c r="G215" s="102">
        <f t="shared" si="28"/>
        <v>-8201378.706987088</v>
      </c>
      <c r="H215" s="102">
        <f t="shared" si="23"/>
        <v>562514.7431170008</v>
      </c>
      <c r="I215" s="103">
        <f t="shared" si="24"/>
        <v>-7638863.963870087</v>
      </c>
    </row>
    <row r="216" spans="1:9" ht="12.75" hidden="1">
      <c r="A216" s="1">
        <v>31</v>
      </c>
      <c r="B216" s="101">
        <f t="shared" si="25"/>
        <v>214388911.5200632</v>
      </c>
      <c r="C216" s="101">
        <f t="shared" si="26"/>
        <v>1560625.3218758444</v>
      </c>
      <c r="D216" s="101">
        <f t="shared" si="27"/>
        <v>8201378.706987088</v>
      </c>
      <c r="E216" s="101"/>
      <c r="F216" s="101"/>
      <c r="G216" s="102">
        <f t="shared" si="28"/>
        <v>-8201378.706987088</v>
      </c>
      <c r="H216" s="102">
        <f t="shared" si="23"/>
        <v>546218.8626565455</v>
      </c>
      <c r="I216" s="103">
        <f t="shared" si="24"/>
        <v>-7655159.844330542</v>
      </c>
    </row>
    <row r="217" spans="1:9" ht="12.75" hidden="1">
      <c r="A217" s="1">
        <v>32</v>
      </c>
      <c r="B217" s="101">
        <f t="shared" si="25"/>
        <v>207701269.73246723</v>
      </c>
      <c r="C217" s="101">
        <f t="shared" si="26"/>
        <v>1513736.9193911212</v>
      </c>
      <c r="D217" s="101">
        <f t="shared" si="27"/>
        <v>8201378.706987088</v>
      </c>
      <c r="E217" s="101"/>
      <c r="F217" s="101"/>
      <c r="G217" s="102">
        <f t="shared" si="28"/>
        <v>-8201378.706987088</v>
      </c>
      <c r="H217" s="102">
        <f t="shared" si="23"/>
        <v>529807.9217868925</v>
      </c>
      <c r="I217" s="103">
        <f t="shared" si="24"/>
        <v>-7671570.785200195</v>
      </c>
    </row>
    <row r="218" spans="1:9" ht="12.75" hidden="1">
      <c r="A218" s="1">
        <v>33</v>
      </c>
      <c r="B218" s="101">
        <f t="shared" si="25"/>
        <v>200966408.4771956</v>
      </c>
      <c r="C218" s="101">
        <f t="shared" si="26"/>
        <v>1466517.4517154365</v>
      </c>
      <c r="D218" s="101">
        <f t="shared" si="27"/>
        <v>8201378.706987088</v>
      </c>
      <c r="E218" s="101"/>
      <c r="F218" s="101"/>
      <c r="G218" s="102">
        <f t="shared" si="28"/>
        <v>-8201378.706987088</v>
      </c>
      <c r="H218" s="102">
        <f t="shared" si="23"/>
        <v>513281.10810040275</v>
      </c>
      <c r="I218" s="103">
        <f t="shared" si="24"/>
        <v>-7688097.5988866845</v>
      </c>
    </row>
    <row r="219" spans="1:9" ht="12.75" hidden="1">
      <c r="A219" s="1">
        <v>34</v>
      </c>
      <c r="B219" s="101">
        <f t="shared" si="25"/>
        <v>194183994.35150355</v>
      </c>
      <c r="C219" s="101">
        <f t="shared" si="26"/>
        <v>1418964.5812950488</v>
      </c>
      <c r="D219" s="101">
        <f t="shared" si="27"/>
        <v>8201378.706987088</v>
      </c>
      <c r="E219" s="101"/>
      <c r="F219" s="101"/>
      <c r="G219" s="102">
        <f t="shared" si="28"/>
        <v>-8201378.706987088</v>
      </c>
      <c r="H219" s="102">
        <f t="shared" si="23"/>
        <v>496637.6034532671</v>
      </c>
      <c r="I219" s="103">
        <f t="shared" si="24"/>
        <v>-7704741.10353382</v>
      </c>
    </row>
    <row r="220" spans="1:9" ht="12.75" hidden="1">
      <c r="A220" s="1">
        <v>35</v>
      </c>
      <c r="B220" s="101">
        <f t="shared" si="25"/>
        <v>187353691.5985879</v>
      </c>
      <c r="C220" s="101">
        <f t="shared" si="26"/>
        <v>1371075.9540714386</v>
      </c>
      <c r="D220" s="101">
        <f t="shared" si="27"/>
        <v>8201378.706987088</v>
      </c>
      <c r="E220" s="101"/>
      <c r="F220" s="101"/>
      <c r="G220" s="102">
        <f t="shared" si="28"/>
        <v>-8201378.706987088</v>
      </c>
      <c r="H220" s="102">
        <f t="shared" si="23"/>
        <v>479876.5839250035</v>
      </c>
      <c r="I220" s="103">
        <f t="shared" si="24"/>
        <v>-7721502.123062084</v>
      </c>
    </row>
    <row r="221" spans="1:10" s="108" customFormat="1" ht="12.75" hidden="1">
      <c r="A221" s="106">
        <v>36</v>
      </c>
      <c r="B221" s="101">
        <f t="shared" si="25"/>
        <v>180475162.0909656</v>
      </c>
      <c r="C221" s="101">
        <f t="shared" si="26"/>
        <v>1322849.1993647725</v>
      </c>
      <c r="D221" s="101">
        <f t="shared" si="27"/>
        <v>8201378.706987088</v>
      </c>
      <c r="E221" s="107">
        <f>IF(A221&gt;$B$58,"",B209*$B$60)</f>
        <v>0</v>
      </c>
      <c r="F221" s="107"/>
      <c r="G221" s="102">
        <f t="shared" si="28"/>
        <v>-8201378.706987088</v>
      </c>
      <c r="H221" s="102">
        <f t="shared" si="23"/>
        <v>462997.21977767034</v>
      </c>
      <c r="I221" s="103">
        <f t="shared" si="24"/>
        <v>-7738381.487209417</v>
      </c>
      <c r="J221" s="104">
        <f>SUM(I210:I221)</f>
        <v>-91772169.47866929</v>
      </c>
    </row>
    <row r="222" spans="1:9" ht="12.75" hidden="1">
      <c r="A222" s="1">
        <v>37</v>
      </c>
      <c r="B222" s="101">
        <f t="shared" si="25"/>
        <v>173548065.31373507</v>
      </c>
      <c r="C222" s="101">
        <f t="shared" si="26"/>
        <v>1274281.929756546</v>
      </c>
      <c r="D222" s="101">
        <f t="shared" si="27"/>
        <v>8201378.706987088</v>
      </c>
      <c r="E222" s="101"/>
      <c r="F222" s="101"/>
      <c r="G222" s="102">
        <f t="shared" si="28"/>
        <v>-8201378.706987088</v>
      </c>
      <c r="H222" s="102">
        <f t="shared" si="23"/>
        <v>445998.67541479104</v>
      </c>
      <c r="I222" s="103">
        <f t="shared" si="24"/>
        <v>-7755380.031572296</v>
      </c>
    </row>
    <row r="223" spans="1:9" ht="12.75" hidden="1">
      <c r="A223" s="1">
        <v>38</v>
      </c>
      <c r="B223" s="101">
        <f t="shared" si="25"/>
        <v>166572058.34771937</v>
      </c>
      <c r="C223" s="101">
        <f t="shared" si="26"/>
        <v>1225371.740971396</v>
      </c>
      <c r="D223" s="101">
        <f t="shared" si="27"/>
        <v>8201378.706987088</v>
      </c>
      <c r="E223" s="101"/>
      <c r="F223" s="101"/>
      <c r="G223" s="102">
        <f t="shared" si="28"/>
        <v>-8201378.706987088</v>
      </c>
      <c r="H223" s="102">
        <f t="shared" si="23"/>
        <v>428880.10933998856</v>
      </c>
      <c r="I223" s="103">
        <f t="shared" si="24"/>
        <v>-7772498.597647099</v>
      </c>
    </row>
    <row r="224" spans="1:9" ht="12.75" hidden="1">
      <c r="A224" s="1">
        <v>39</v>
      </c>
      <c r="B224" s="101">
        <f t="shared" si="25"/>
        <v>159546795.85249037</v>
      </c>
      <c r="C224" s="101">
        <f t="shared" si="26"/>
        <v>1176116.2117580795</v>
      </c>
      <c r="D224" s="101">
        <f t="shared" si="27"/>
        <v>8201378.706987088</v>
      </c>
      <c r="E224" s="101"/>
      <c r="F224" s="101"/>
      <c r="G224" s="102">
        <f t="shared" si="28"/>
        <v>-8201378.706987088</v>
      </c>
      <c r="H224" s="102">
        <f t="shared" si="23"/>
        <v>411640.67411532777</v>
      </c>
      <c r="I224" s="103">
        <f t="shared" si="24"/>
        <v>-7789738.0328717595</v>
      </c>
    </row>
    <row r="225" spans="1:9" ht="12.75" hidden="1">
      <c r="A225" s="1">
        <v>40</v>
      </c>
      <c r="B225" s="101">
        <f t="shared" si="25"/>
        <v>152471930.0492729</v>
      </c>
      <c r="C225" s="101">
        <f t="shared" si="26"/>
        <v>1126512.9037696123</v>
      </c>
      <c r="D225" s="101">
        <f t="shared" si="27"/>
        <v>8201378.706987088</v>
      </c>
      <c r="E225" s="101"/>
      <c r="F225" s="101"/>
      <c r="G225" s="102">
        <f t="shared" si="28"/>
        <v>-8201378.706987088</v>
      </c>
      <c r="H225" s="102">
        <f t="shared" si="23"/>
        <v>394279.5163193643</v>
      </c>
      <c r="I225" s="103">
        <f t="shared" si="24"/>
        <v>-7807099.190667723</v>
      </c>
    </row>
    <row r="226" spans="1:9" ht="12.75" hidden="1">
      <c r="A226" s="1">
        <v>41</v>
      </c>
      <c r="B226" s="101">
        <f t="shared" si="25"/>
        <v>145347110.70372838</v>
      </c>
      <c r="C226" s="101">
        <f t="shared" si="26"/>
        <v>1076559.3614425608</v>
      </c>
      <c r="D226" s="101">
        <f t="shared" si="27"/>
        <v>8201378.706987088</v>
      </c>
      <c r="E226" s="101"/>
      <c r="F226" s="101"/>
      <c r="G226" s="102">
        <f t="shared" si="28"/>
        <v>-8201378.706987088</v>
      </c>
      <c r="H226" s="102">
        <f t="shared" si="23"/>
        <v>376795.77650489623</v>
      </c>
      <c r="I226" s="103">
        <f t="shared" si="24"/>
        <v>-7824582.930482191</v>
      </c>
    </row>
    <row r="227" spans="1:9" ht="12.75" hidden="1">
      <c r="A227" s="1">
        <v>42</v>
      </c>
      <c r="B227" s="101">
        <f t="shared" si="25"/>
        <v>138171985.10861677</v>
      </c>
      <c r="C227" s="101">
        <f t="shared" si="26"/>
        <v>1026253.1118754812</v>
      </c>
      <c r="D227" s="101">
        <f t="shared" si="27"/>
        <v>8201378.706987088</v>
      </c>
      <c r="E227" s="101"/>
      <c r="F227" s="101"/>
      <c r="G227" s="102">
        <f t="shared" si="28"/>
        <v>-8201378.706987088</v>
      </c>
      <c r="H227" s="102">
        <f t="shared" si="23"/>
        <v>359188.5891564184</v>
      </c>
      <c r="I227" s="103">
        <f t="shared" si="24"/>
        <v>-7842190.1178306695</v>
      </c>
    </row>
    <row r="228" spans="1:9" ht="12.75" hidden="1">
      <c r="A228" s="1">
        <v>43</v>
      </c>
      <c r="B228" s="101">
        <f t="shared" si="25"/>
        <v>130946198.06633618</v>
      </c>
      <c r="C228" s="101">
        <f t="shared" si="26"/>
        <v>975591.664706502</v>
      </c>
      <c r="D228" s="101">
        <f t="shared" si="27"/>
        <v>8201378.706987088</v>
      </c>
      <c r="E228" s="101"/>
      <c r="F228" s="101"/>
      <c r="G228" s="102">
        <f t="shared" si="28"/>
        <v>-8201378.706987088</v>
      </c>
      <c r="H228" s="102">
        <f t="shared" si="23"/>
        <v>341457.0826472757</v>
      </c>
      <c r="I228" s="103">
        <f t="shared" si="24"/>
        <v>-7859921.6243398115</v>
      </c>
    </row>
    <row r="229" spans="1:9" ht="12.75" hidden="1">
      <c r="A229" s="1">
        <v>44</v>
      </c>
      <c r="B229" s="101">
        <f t="shared" si="25"/>
        <v>123669391.87133914</v>
      </c>
      <c r="C229" s="101">
        <f t="shared" si="26"/>
        <v>924572.5119900404</v>
      </c>
      <c r="D229" s="101">
        <f t="shared" si="27"/>
        <v>8201378.706987088</v>
      </c>
      <c r="E229" s="101"/>
      <c r="F229" s="101"/>
      <c r="G229" s="102">
        <f t="shared" si="28"/>
        <v>-8201378.706987088</v>
      </c>
      <c r="H229" s="102">
        <f t="shared" si="23"/>
        <v>323600.37919651414</v>
      </c>
      <c r="I229" s="103">
        <f t="shared" si="24"/>
        <v>-7877778.327790573</v>
      </c>
    </row>
    <row r="230" spans="1:9" ht="12.75" hidden="1">
      <c r="A230" s="1">
        <v>45</v>
      </c>
      <c r="B230" s="101">
        <f t="shared" si="25"/>
        <v>116341206.29242471</v>
      </c>
      <c r="C230" s="101">
        <f t="shared" si="26"/>
        <v>873193.1280726487</v>
      </c>
      <c r="D230" s="101">
        <f t="shared" si="27"/>
        <v>8201378.706987088</v>
      </c>
      <c r="E230" s="101"/>
      <c r="F230" s="101"/>
      <c r="G230" s="102">
        <f t="shared" si="28"/>
        <v>-8201378.706987088</v>
      </c>
      <c r="H230" s="102">
        <f t="shared" si="23"/>
        <v>305617.594825427</v>
      </c>
      <c r="I230" s="103">
        <f t="shared" si="24"/>
        <v>-7895761.112161661</v>
      </c>
    </row>
    <row r="231" spans="1:9" ht="12.75" hidden="1">
      <c r="A231" s="1">
        <v>46</v>
      </c>
      <c r="B231" s="101">
        <f t="shared" si="25"/>
        <v>108961278.55490561</v>
      </c>
      <c r="C231" s="101">
        <f t="shared" si="26"/>
        <v>821450.9694679847</v>
      </c>
      <c r="D231" s="101">
        <f t="shared" si="27"/>
        <v>8201378.706987088</v>
      </c>
      <c r="E231" s="101"/>
      <c r="F231" s="101"/>
      <c r="G231" s="102">
        <f t="shared" si="28"/>
        <v>-8201378.706987088</v>
      </c>
      <c r="H231" s="102">
        <f t="shared" si="23"/>
        <v>287507.8393137946</v>
      </c>
      <c r="I231" s="103">
        <f t="shared" si="24"/>
        <v>-7913870.867673293</v>
      </c>
    </row>
    <row r="232" spans="1:9" ht="12.75" hidden="1">
      <c r="A232" s="1">
        <v>47</v>
      </c>
      <c r="B232" s="101">
        <f t="shared" si="25"/>
        <v>101529243.32264942</v>
      </c>
      <c r="C232" s="101">
        <f t="shared" si="26"/>
        <v>769343.4747308989</v>
      </c>
      <c r="D232" s="101">
        <f t="shared" si="27"/>
        <v>8201378.706987088</v>
      </c>
      <c r="E232" s="101"/>
      <c r="F232" s="101"/>
      <c r="G232" s="102">
        <f t="shared" si="28"/>
        <v>-8201378.706987088</v>
      </c>
      <c r="H232" s="102">
        <f t="shared" si="23"/>
        <v>269270.2161558146</v>
      </c>
      <c r="I232" s="103">
        <f t="shared" si="24"/>
        <v>-7932108.490831273</v>
      </c>
    </row>
    <row r="233" spans="1:10" s="108" customFormat="1" ht="12.75" hidden="1">
      <c r="A233" s="106">
        <v>48</v>
      </c>
      <c r="B233" s="101">
        <f t="shared" si="25"/>
        <v>94044732.67999297</v>
      </c>
      <c r="C233" s="101">
        <f t="shared" si="26"/>
        <v>716868.0643306323</v>
      </c>
      <c r="D233" s="101">
        <f t="shared" si="27"/>
        <v>8201378.706987088</v>
      </c>
      <c r="E233" s="107">
        <f>IF(A233&gt;$B$58,"",B221*$B$60)</f>
        <v>0</v>
      </c>
      <c r="F233" s="107"/>
      <c r="G233" s="102">
        <f t="shared" si="28"/>
        <v>-8201378.706987088</v>
      </c>
      <c r="H233" s="102">
        <f t="shared" si="23"/>
        <v>250903.8225157213</v>
      </c>
      <c r="I233" s="103">
        <f t="shared" si="24"/>
        <v>-7950474.884471366</v>
      </c>
      <c r="J233" s="104">
        <f>SUM(I222:I233)</f>
        <v>-94221404.20833972</v>
      </c>
    </row>
    <row r="234" spans="1:9" ht="12.75" hidden="1">
      <c r="A234" s="1">
        <v>49</v>
      </c>
      <c r="B234" s="101">
        <f t="shared" si="25"/>
        <v>86507376.11352901</v>
      </c>
      <c r="C234" s="101">
        <f t="shared" si="26"/>
        <v>664022.1405231196</v>
      </c>
      <c r="D234" s="101">
        <f t="shared" si="27"/>
        <v>8201378.706987088</v>
      </c>
      <c r="E234" s="101"/>
      <c r="F234" s="101"/>
      <c r="G234" s="102">
        <f t="shared" si="28"/>
        <v>-8201378.706987088</v>
      </c>
      <c r="H234" s="102">
        <f t="shared" si="23"/>
        <v>232407.74918309183</v>
      </c>
      <c r="I234" s="103">
        <f t="shared" si="24"/>
        <v>-7968970.957803995</v>
      </c>
    </row>
    <row r="235" spans="1:9" ht="12.75" hidden="1">
      <c r="A235" s="1">
        <v>50</v>
      </c>
      <c r="B235" s="101">
        <f t="shared" si="25"/>
        <v>78916800.49376433</v>
      </c>
      <c r="C235" s="101">
        <f t="shared" si="26"/>
        <v>610803.0872223902</v>
      </c>
      <c r="D235" s="101">
        <f t="shared" si="27"/>
        <v>8201378.706987088</v>
      </c>
      <c r="E235" s="101"/>
      <c r="F235" s="101"/>
      <c r="G235" s="102">
        <f t="shared" si="28"/>
        <v>-8201378.706987088</v>
      </c>
      <c r="H235" s="102">
        <f t="shared" si="23"/>
        <v>213781.08052783657</v>
      </c>
      <c r="I235" s="103">
        <f t="shared" si="24"/>
        <v>-7987597.626459251</v>
      </c>
    </row>
    <row r="236" spans="1:9" ht="12.75" hidden="1">
      <c r="A236" s="1">
        <v>51</v>
      </c>
      <c r="B236" s="101">
        <f t="shared" si="25"/>
        <v>71272630.0566483</v>
      </c>
      <c r="C236" s="101">
        <f t="shared" si="26"/>
        <v>557208.2698710617</v>
      </c>
      <c r="D236" s="101">
        <f t="shared" si="27"/>
        <v>8201378.706987088</v>
      </c>
      <c r="E236" s="101"/>
      <c r="F236" s="101"/>
      <c r="G236" s="102">
        <f t="shared" si="28"/>
        <v>-8201378.706987088</v>
      </c>
      <c r="H236" s="102">
        <f t="shared" si="23"/>
        <v>195022.89445487157</v>
      </c>
      <c r="I236" s="103">
        <f t="shared" si="24"/>
        <v>-8006355.812532216</v>
      </c>
    </row>
    <row r="237" spans="1:9" ht="12.75" hidden="1">
      <c r="A237" s="1">
        <v>52</v>
      </c>
      <c r="B237" s="101">
        <f t="shared" si="25"/>
        <v>63574486.38497112</v>
      </c>
      <c r="C237" s="101">
        <f t="shared" si="26"/>
        <v>503235.03530991776</v>
      </c>
      <c r="D237" s="101">
        <f t="shared" si="27"/>
        <v>8201378.706987088</v>
      </c>
      <c r="E237" s="101"/>
      <c r="F237" s="101"/>
      <c r="G237" s="102">
        <f t="shared" si="28"/>
        <v>-8201378.706987088</v>
      </c>
      <c r="H237" s="102">
        <f t="shared" si="23"/>
        <v>176132.2623584712</v>
      </c>
      <c r="I237" s="103">
        <f t="shared" si="24"/>
        <v>-8025246.444628617</v>
      </c>
    </row>
    <row r="238" spans="1:9" ht="12.75" hidden="1">
      <c r="A238" s="1">
        <v>53</v>
      </c>
      <c r="B238" s="101">
        <f t="shared" si="25"/>
        <v>55821988.38963059</v>
      </c>
      <c r="C238" s="101">
        <f t="shared" si="26"/>
        <v>448880.7116465675</v>
      </c>
      <c r="D238" s="101">
        <f t="shared" si="27"/>
        <v>8201378.706987088</v>
      </c>
      <c r="E238" s="101"/>
      <c r="F238" s="101"/>
      <c r="G238" s="102">
        <f t="shared" si="28"/>
        <v>-8201378.706987088</v>
      </c>
      <c r="H238" s="102">
        <f t="shared" si="23"/>
        <v>157108.2490762986</v>
      </c>
      <c r="I238" s="103">
        <f t="shared" si="24"/>
        <v>-8044270.457910789</v>
      </c>
    </row>
    <row r="239" spans="1:9" ht="12.75" hidden="1">
      <c r="A239" s="1">
        <v>54</v>
      </c>
      <c r="B239" s="101">
        <f t="shared" si="25"/>
        <v>48014752.29076668</v>
      </c>
      <c r="C239" s="101">
        <f t="shared" si="26"/>
        <v>394142.6081231752</v>
      </c>
      <c r="D239" s="101">
        <f t="shared" si="27"/>
        <v>8201378.706987088</v>
      </c>
      <c r="E239" s="101"/>
      <c r="F239" s="101"/>
      <c r="G239" s="102">
        <f t="shared" si="28"/>
        <v>-8201378.706987088</v>
      </c>
      <c r="H239" s="102">
        <f t="shared" si="23"/>
        <v>137949.91284311132</v>
      </c>
      <c r="I239" s="103">
        <f t="shared" si="24"/>
        <v>-8063428.794143977</v>
      </c>
    </row>
    <row r="240" spans="1:9" ht="12.75" hidden="1">
      <c r="A240" s="1">
        <v>55</v>
      </c>
      <c r="B240" s="101">
        <f t="shared" si="25"/>
        <v>40152391.59876285</v>
      </c>
      <c r="C240" s="101">
        <f t="shared" si="26"/>
        <v>339018.01498325693</v>
      </c>
      <c r="D240" s="101">
        <f t="shared" si="27"/>
        <v>8201378.706987088</v>
      </c>
      <c r="E240" s="101"/>
      <c r="F240" s="101"/>
      <c r="G240" s="102">
        <f t="shared" si="28"/>
        <v>-8201378.706987088</v>
      </c>
      <c r="H240" s="102">
        <f t="shared" si="23"/>
        <v>118656.30524413992</v>
      </c>
      <c r="I240" s="103">
        <f t="shared" si="24"/>
        <v>-8082722.401742947</v>
      </c>
    </row>
    <row r="241" spans="1:9" ht="12.75" hidden="1">
      <c r="A241" s="1">
        <v>56</v>
      </c>
      <c r="B241" s="101">
        <f t="shared" si="25"/>
        <v>32234517.095113296</v>
      </c>
      <c r="C241" s="101">
        <f t="shared" si="26"/>
        <v>283504.20333753695</v>
      </c>
      <c r="D241" s="101">
        <f t="shared" si="27"/>
        <v>8201378.706987088</v>
      </c>
      <c r="E241" s="101"/>
      <c r="F241" s="101"/>
      <c r="G241" s="102">
        <f t="shared" si="28"/>
        <v>-8201378.706987088</v>
      </c>
      <c r="H241" s="102">
        <f t="shared" si="23"/>
        <v>99226.47116813793</v>
      </c>
      <c r="I241" s="103">
        <f t="shared" si="24"/>
        <v>-8102152.2358189495</v>
      </c>
    </row>
    <row r="242" spans="1:9" ht="12.75" hidden="1">
      <c r="A242" s="1">
        <v>57</v>
      </c>
      <c r="B242" s="101">
        <f t="shared" si="25"/>
        <v>24260736.813155066</v>
      </c>
      <c r="C242" s="101">
        <f t="shared" si="26"/>
        <v>227598.4250288564</v>
      </c>
      <c r="D242" s="101">
        <f t="shared" si="27"/>
        <v>8201378.706987088</v>
      </c>
      <c r="E242" s="101"/>
      <c r="F242" s="101"/>
      <c r="G242" s="102">
        <f t="shared" si="28"/>
        <v>-8201378.706987088</v>
      </c>
      <c r="H242" s="102">
        <f t="shared" si="23"/>
        <v>79659.44876009974</v>
      </c>
      <c r="I242" s="103">
        <f t="shared" si="24"/>
        <v>-8121719.258226988</v>
      </c>
    </row>
    <row r="243" spans="1:9" ht="12.75" hidden="1">
      <c r="A243" s="1">
        <v>58</v>
      </c>
      <c r="B243" s="101">
        <f t="shared" si="25"/>
        <v>16230656.018664107</v>
      </c>
      <c r="C243" s="101">
        <f t="shared" si="26"/>
        <v>171297.91249612896</v>
      </c>
      <c r="D243" s="101">
        <f t="shared" si="27"/>
        <v>8201378.706987088</v>
      </c>
      <c r="E243" s="101"/>
      <c r="F243" s="101"/>
      <c r="G243" s="102">
        <f t="shared" si="28"/>
        <v>-8201378.706987088</v>
      </c>
      <c r="H243" s="102">
        <f t="shared" si="23"/>
        <v>59954.26937364513</v>
      </c>
      <c r="I243" s="103">
        <f t="shared" si="24"/>
        <v>-8141424.437613443</v>
      </c>
    </row>
    <row r="244" spans="1:9" ht="12.75" hidden="1">
      <c r="A244" s="1">
        <v>59</v>
      </c>
      <c r="B244" s="101">
        <f t="shared" si="25"/>
        <v>8143877.190314353</v>
      </c>
      <c r="C244" s="101">
        <f t="shared" si="26"/>
        <v>114599.87863733487</v>
      </c>
      <c r="D244" s="101">
        <f t="shared" si="27"/>
        <v>8201378.706987088</v>
      </c>
      <c r="E244" s="101"/>
      <c r="F244" s="101"/>
      <c r="G244" s="102">
        <f t="shared" si="28"/>
        <v>-8201378.706987088</v>
      </c>
      <c r="H244" s="102">
        <f t="shared" si="23"/>
        <v>40109.957523067205</v>
      </c>
      <c r="I244" s="103">
        <f t="shared" si="24"/>
        <v>-8161268.74946402</v>
      </c>
    </row>
    <row r="245" spans="1:10" s="108" customFormat="1" ht="12.75" hidden="1">
      <c r="A245" s="106">
        <v>60</v>
      </c>
      <c r="B245" s="101">
        <f t="shared" si="25"/>
        <v>-1.1855736374855042E-06</v>
      </c>
      <c r="C245" s="101">
        <f t="shared" si="26"/>
        <v>57501.51667154859</v>
      </c>
      <c r="D245" s="101">
        <f t="shared" si="27"/>
        <v>8201378.706987088</v>
      </c>
      <c r="E245" s="107">
        <f>IF(A245&gt;$B$58,"",B233*$B$60)</f>
        <v>0</v>
      </c>
      <c r="F245" s="107"/>
      <c r="G245" s="102">
        <f t="shared" si="28"/>
        <v>-8201378.706987088</v>
      </c>
      <c r="H245" s="102">
        <f t="shared" si="23"/>
        <v>20125.530835042005</v>
      </c>
      <c r="I245" s="103">
        <f t="shared" si="24"/>
        <v>-8181253.176152046</v>
      </c>
      <c r="J245" s="104">
        <f>SUM(I234:I245)</f>
        <v>-96886410.35249725</v>
      </c>
    </row>
    <row r="246" spans="2:8" ht="12.75" hidden="1">
      <c r="B246" s="101"/>
      <c r="C246" s="101"/>
      <c r="D246" s="101"/>
      <c r="E246" s="101"/>
      <c r="F246" s="101"/>
      <c r="G246" s="102"/>
      <c r="H246" s="102"/>
    </row>
    <row r="247" spans="2:10" ht="12.75" hidden="1">
      <c r="B247" s="101"/>
      <c r="C247" s="101"/>
      <c r="D247" s="101"/>
      <c r="E247" s="101"/>
      <c r="F247" s="101"/>
      <c r="G247" s="102"/>
      <c r="I247" s="107" t="s">
        <v>55</v>
      </c>
      <c r="J247" s="109">
        <f>IRR(I185:I245,$B$56)</f>
        <v>0.0045894584315390756</v>
      </c>
    </row>
    <row r="248" spans="2:9" ht="12.75" hidden="1">
      <c r="B248" s="101"/>
      <c r="C248" s="101"/>
      <c r="D248" s="101"/>
      <c r="E248" s="101"/>
      <c r="F248" s="101"/>
      <c r="G248" s="102"/>
      <c r="H248" s="102"/>
      <c r="I248" s="78"/>
    </row>
    <row r="249" spans="2:8" ht="12.75" hidden="1">
      <c r="B249" s="101"/>
      <c r="C249" s="101"/>
      <c r="D249" s="101"/>
      <c r="E249" s="101"/>
      <c r="F249" s="101"/>
      <c r="G249" s="102"/>
      <c r="H249" s="102"/>
    </row>
    <row r="250" spans="2:8" ht="12.75" hidden="1">
      <c r="B250" s="101"/>
      <c r="C250" s="101"/>
      <c r="D250" s="101"/>
      <c r="E250" s="101"/>
      <c r="F250" s="101"/>
      <c r="G250" s="102"/>
      <c r="H250" s="102"/>
    </row>
    <row r="251" ht="12.75" hidden="1">
      <c r="A251" s="1" t="str">
        <f>A99</f>
        <v>BANCO 2</v>
      </c>
    </row>
    <row r="252" ht="12.75" hidden="1">
      <c r="A252" s="1"/>
    </row>
    <row r="253" spans="1:10" ht="12.75" hidden="1">
      <c r="A253" s="1" t="s">
        <v>67</v>
      </c>
      <c r="B253" t="s">
        <v>28</v>
      </c>
      <c r="C253" t="s">
        <v>68</v>
      </c>
      <c r="D253" t="s">
        <v>69</v>
      </c>
      <c r="E253" t="s">
        <v>70</v>
      </c>
      <c r="G253" s="1" t="s">
        <v>71</v>
      </c>
      <c r="H253" s="1" t="s">
        <v>72</v>
      </c>
      <c r="I253" t="s">
        <v>71</v>
      </c>
      <c r="J253" t="s">
        <v>73</v>
      </c>
    </row>
    <row r="254" spans="1:12" ht="12.75" hidden="1">
      <c r="A254" s="1">
        <v>0</v>
      </c>
      <c r="B254" s="101">
        <f>B101</f>
        <v>200000000</v>
      </c>
      <c r="C254" s="101"/>
      <c r="D254" s="101"/>
      <c r="E254" s="101">
        <f>B101*B110</f>
        <v>0</v>
      </c>
      <c r="F254" s="101"/>
      <c r="G254" s="102">
        <f>B254-E254</f>
        <v>200000000</v>
      </c>
      <c r="H254" s="102">
        <f aca="true" t="shared" si="29" ref="H254:H314">IF(A254&gt;$B$109,"",(E254+C254)*$F$38)</f>
        <v>0</v>
      </c>
      <c r="I254" s="103">
        <f>G254+H254</f>
        <v>200000000</v>
      </c>
      <c r="J254" s="104">
        <f>I254</f>
        <v>200000000</v>
      </c>
      <c r="L254" s="103">
        <f>J254</f>
        <v>200000000</v>
      </c>
    </row>
    <row r="255" spans="1:12" ht="12.75" hidden="1">
      <c r="A255" s="1">
        <v>1</v>
      </c>
      <c r="B255" s="101">
        <f>IF(A255&gt;$B$109,"",B254+C255-D255)</f>
        <v>197164460.29114857</v>
      </c>
      <c r="C255" s="101">
        <f>IF(A255&gt;$B$109,"",B254*$B$107)</f>
        <v>1070455.8599642145</v>
      </c>
      <c r="D255" s="101">
        <f>IF(A255&gt;$B$109,"",$B$254/((((1+$B$107)^$B$109-1)/($B$107*(1+$B$107)^$B$109))))</f>
        <v>3905995.5688156565</v>
      </c>
      <c r="E255" s="101"/>
      <c r="F255" s="101"/>
      <c r="G255" s="102">
        <f>IF(A255&gt;$B$109,"",-D255-E255)</f>
        <v>-3905995.5688156565</v>
      </c>
      <c r="H255" s="102">
        <f t="shared" si="29"/>
        <v>374659.550987475</v>
      </c>
      <c r="I255" s="103">
        <f aca="true" t="shared" si="30" ref="I255:I314">IF(A255&gt;$B$109,"",G255+H255)</f>
        <v>-3531336.0178281814</v>
      </c>
      <c r="L255" s="103">
        <f>J266</f>
        <v>-42732942.32103498</v>
      </c>
    </row>
    <row r="256" spans="1:12" ht="12.75" hidden="1">
      <c r="A256" s="1">
        <v>2</v>
      </c>
      <c r="B256" s="101">
        <f aca="true" t="shared" si="31" ref="B256:B314">IF(A256&gt;$B$109,"",B255+C256-D256)</f>
        <v>194313743.98180965</v>
      </c>
      <c r="C256" s="101">
        <f aca="true" t="shared" si="32" ref="C256:C314">IF(A256&gt;$B$109,"",B255*$B$107)</f>
        <v>1055279.2594767082</v>
      </c>
      <c r="D256" s="101">
        <f aca="true" t="shared" si="33" ref="D256:D314">IF(A256&gt;$B$109,"",$B$254/((((1+$B$107)^$B$109-1)/($B$107*(1+$B$107)^$B$109))))</f>
        <v>3905995.5688156565</v>
      </c>
      <c r="E256" s="101"/>
      <c r="F256" s="101"/>
      <c r="G256" s="102">
        <f aca="true" t="shared" si="34" ref="G256:G314">IF(A256&gt;$B$109,"",-D256-E256)</f>
        <v>-3905995.5688156565</v>
      </c>
      <c r="H256" s="102">
        <f t="shared" si="29"/>
        <v>369347.7408168479</v>
      </c>
      <c r="I256" s="103">
        <f t="shared" si="30"/>
        <v>-3536647.8279988086</v>
      </c>
      <c r="L256" s="103">
        <f>J278</f>
        <v>-43544376.761068024</v>
      </c>
    </row>
    <row r="257" spans="1:12" ht="12.75" hidden="1">
      <c r="A257" s="1">
        <v>3</v>
      </c>
      <c r="B257" s="101">
        <f t="shared" si="31"/>
        <v>191447769.84257856</v>
      </c>
      <c r="C257" s="101">
        <f t="shared" si="32"/>
        <v>1040021.4295845712</v>
      </c>
      <c r="D257" s="101">
        <f t="shared" si="33"/>
        <v>3905995.5688156565</v>
      </c>
      <c r="E257" s="101"/>
      <c r="F257" s="101"/>
      <c r="G257" s="102">
        <f t="shared" si="34"/>
        <v>-3905995.5688156565</v>
      </c>
      <c r="H257" s="102">
        <f t="shared" si="29"/>
        <v>364007.5003545999</v>
      </c>
      <c r="I257" s="103">
        <f t="shared" si="30"/>
        <v>-3541988.068461057</v>
      </c>
      <c r="L257" s="103">
        <f>J290</f>
        <v>-44409489.36477699</v>
      </c>
    </row>
    <row r="258" spans="1:13" ht="12.75" hidden="1">
      <c r="A258" s="1">
        <v>4</v>
      </c>
      <c r="B258" s="101">
        <f t="shared" si="31"/>
        <v>188566456.20928824</v>
      </c>
      <c r="C258" s="101">
        <f t="shared" si="32"/>
        <v>1024681.9355253421</v>
      </c>
      <c r="D258" s="101">
        <f t="shared" si="33"/>
        <v>3905995.5688156565</v>
      </c>
      <c r="E258" s="101"/>
      <c r="F258" s="101"/>
      <c r="G258" s="102">
        <f t="shared" si="34"/>
        <v>-3905995.5688156565</v>
      </c>
      <c r="H258" s="102">
        <f t="shared" si="29"/>
        <v>358638.67743386974</v>
      </c>
      <c r="I258" s="103">
        <f t="shared" si="30"/>
        <v>-3547356.8913817867</v>
      </c>
      <c r="L258" s="103">
        <f>J302</f>
        <v>-45331831.0601401</v>
      </c>
      <c r="M258" s="78"/>
    </row>
    <row r="259" spans="1:12" ht="12.75" hidden="1">
      <c r="A259" s="1">
        <v>5</v>
      </c>
      <c r="B259" s="101">
        <f t="shared" si="31"/>
        <v>185669720.9806822</v>
      </c>
      <c r="C259" s="101">
        <f t="shared" si="32"/>
        <v>1009260.3402095902</v>
      </c>
      <c r="D259" s="101">
        <f t="shared" si="33"/>
        <v>3905995.5688156565</v>
      </c>
      <c r="E259" s="101"/>
      <c r="F259" s="101"/>
      <c r="G259" s="102">
        <f t="shared" si="34"/>
        <v>-3905995.5688156565</v>
      </c>
      <c r="H259" s="102">
        <f t="shared" si="29"/>
        <v>353241.11907335656</v>
      </c>
      <c r="I259" s="103">
        <f t="shared" si="30"/>
        <v>-3552754.4497423</v>
      </c>
      <c r="L259" s="103">
        <f>J314</f>
        <v>-46315187.67679102</v>
      </c>
    </row>
    <row r="260" spans="1:9" ht="12.75" hidden="1">
      <c r="A260" s="1">
        <v>6</v>
      </c>
      <c r="B260" s="101">
        <f t="shared" si="31"/>
        <v>182757481.616075</v>
      </c>
      <c r="C260" s="101">
        <f t="shared" si="32"/>
        <v>993756.2042084596</v>
      </c>
      <c r="D260" s="101">
        <f t="shared" si="33"/>
        <v>3905995.5688156565</v>
      </c>
      <c r="E260" s="101"/>
      <c r="F260" s="101"/>
      <c r="G260" s="102">
        <f t="shared" si="34"/>
        <v>-3905995.5688156565</v>
      </c>
      <c r="H260" s="102">
        <f t="shared" si="29"/>
        <v>347814.67147296085</v>
      </c>
      <c r="I260" s="103">
        <f t="shared" si="30"/>
        <v>-3558180.897342696</v>
      </c>
    </row>
    <row r="261" spans="1:9" ht="12.75" hidden="1">
      <c r="A261" s="1">
        <v>7</v>
      </c>
      <c r="B261" s="101">
        <f t="shared" si="31"/>
        <v>179829655.13300052</v>
      </c>
      <c r="C261" s="101">
        <f t="shared" si="32"/>
        <v>978169.0857411484</v>
      </c>
      <c r="D261" s="101">
        <f t="shared" si="33"/>
        <v>3905995.5688156565</v>
      </c>
      <c r="E261" s="101"/>
      <c r="F261" s="101"/>
      <c r="G261" s="102">
        <f t="shared" si="34"/>
        <v>-3905995.5688156565</v>
      </c>
      <c r="H261" s="102">
        <f t="shared" si="29"/>
        <v>342359.1800094019</v>
      </c>
      <c r="I261" s="103">
        <f t="shared" si="30"/>
        <v>-3563636.3888062546</v>
      </c>
    </row>
    <row r="262" spans="1:9" ht="12.75" hidden="1">
      <c r="A262" s="1">
        <v>8</v>
      </c>
      <c r="B262" s="101">
        <f t="shared" si="31"/>
        <v>176886158.1048472</v>
      </c>
      <c r="C262" s="101">
        <f t="shared" si="32"/>
        <v>962498.5406623209</v>
      </c>
      <c r="D262" s="101">
        <f t="shared" si="33"/>
        <v>3905995.5688156565</v>
      </c>
      <c r="E262" s="101"/>
      <c r="F262" s="101"/>
      <c r="G262" s="102">
        <f t="shared" si="34"/>
        <v>-3905995.5688156565</v>
      </c>
      <c r="H262" s="102">
        <f t="shared" si="29"/>
        <v>336874.4892318123</v>
      </c>
      <c r="I262" s="103">
        <f t="shared" si="30"/>
        <v>-3569121.079583844</v>
      </c>
    </row>
    <row r="263" spans="1:9" ht="12.75" hidden="1">
      <c r="A263" s="1">
        <v>9</v>
      </c>
      <c r="B263" s="101">
        <f t="shared" si="31"/>
        <v>173926906.658481</v>
      </c>
      <c r="C263" s="101">
        <f t="shared" si="32"/>
        <v>946744.122449451</v>
      </c>
      <c r="D263" s="101">
        <f t="shared" si="33"/>
        <v>3905995.5688156565</v>
      </c>
      <c r="E263" s="101"/>
      <c r="F263" s="101"/>
      <c r="G263" s="102">
        <f t="shared" si="34"/>
        <v>-3905995.5688156565</v>
      </c>
      <c r="H263" s="102">
        <f t="shared" si="29"/>
        <v>331360.44285730785</v>
      </c>
      <c r="I263" s="103">
        <f t="shared" si="30"/>
        <v>-3574635.1259583486</v>
      </c>
    </row>
    <row r="264" spans="1:9" ht="12.75" hidden="1">
      <c r="A264" s="1">
        <v>10</v>
      </c>
      <c r="B264" s="101">
        <f t="shared" si="31"/>
        <v>170951816.47185546</v>
      </c>
      <c r="C264" s="101">
        <f t="shared" si="32"/>
        <v>930905.3821900997</v>
      </c>
      <c r="D264" s="101">
        <f t="shared" si="33"/>
        <v>3905995.5688156565</v>
      </c>
      <c r="E264" s="101"/>
      <c r="F264" s="101"/>
      <c r="G264" s="102">
        <f t="shared" si="34"/>
        <v>-3905995.5688156565</v>
      </c>
      <c r="H264" s="102">
        <f t="shared" si="29"/>
        <v>325816.88376653485</v>
      </c>
      <c r="I264" s="103">
        <f t="shared" si="30"/>
        <v>-3580178.6850491217</v>
      </c>
    </row>
    <row r="265" spans="1:9" ht="12.75" hidden="1">
      <c r="A265" s="1">
        <v>11</v>
      </c>
      <c r="B265" s="101">
        <f t="shared" si="31"/>
        <v>167960802.77160895</v>
      </c>
      <c r="C265" s="101">
        <f t="shared" si="32"/>
        <v>914981.868569123</v>
      </c>
      <c r="D265" s="101">
        <f t="shared" si="33"/>
        <v>3905995.5688156565</v>
      </c>
      <c r="E265" s="101"/>
      <c r="F265" s="101"/>
      <c r="G265" s="102">
        <f t="shared" si="34"/>
        <v>-3905995.5688156565</v>
      </c>
      <c r="H265" s="102">
        <f t="shared" si="29"/>
        <v>320243.65399919305</v>
      </c>
      <c r="I265" s="103">
        <f t="shared" si="30"/>
        <v>-3585751.9148164634</v>
      </c>
    </row>
    <row r="266" spans="1:12" ht="12.75" hidden="1">
      <c r="A266" s="106">
        <v>12</v>
      </c>
      <c r="B266" s="101">
        <f t="shared" si="31"/>
        <v>164953780.3306491</v>
      </c>
      <c r="C266" s="101">
        <f t="shared" si="32"/>
        <v>898973.1278558123</v>
      </c>
      <c r="D266" s="101">
        <f t="shared" si="33"/>
        <v>3905995.5688156565</v>
      </c>
      <c r="E266" s="107">
        <f>IF(A266&gt;$B$109,"",B101*$B$111)</f>
        <v>0</v>
      </c>
      <c r="F266" s="107"/>
      <c r="G266" s="102">
        <f t="shared" si="34"/>
        <v>-3905995.5688156565</v>
      </c>
      <c r="H266" s="102">
        <f t="shared" si="29"/>
        <v>314640.59474953427</v>
      </c>
      <c r="I266" s="103">
        <f t="shared" si="30"/>
        <v>-3591354.9740661224</v>
      </c>
      <c r="J266" s="104">
        <f>SUM(I255:I266)</f>
        <v>-42732942.32103498</v>
      </c>
      <c r="K266" s="108"/>
      <c r="L266" s="108"/>
    </row>
    <row r="267" spans="1:9" ht="12.75" hidden="1">
      <c r="A267" s="1">
        <v>13</v>
      </c>
      <c r="B267" s="101">
        <f t="shared" si="31"/>
        <v>161930663.46572444</v>
      </c>
      <c r="C267" s="101">
        <f t="shared" si="32"/>
        <v>882878.7038909656</v>
      </c>
      <c r="D267" s="101">
        <f t="shared" si="33"/>
        <v>3905995.5688156565</v>
      </c>
      <c r="E267" s="101"/>
      <c r="F267" s="101"/>
      <c r="G267" s="102">
        <f t="shared" si="34"/>
        <v>-3905995.5688156565</v>
      </c>
      <c r="H267" s="102">
        <f t="shared" si="29"/>
        <v>309007.54636183794</v>
      </c>
      <c r="I267" s="103">
        <f t="shared" si="30"/>
        <v>-3596988.0224538185</v>
      </c>
    </row>
    <row r="268" spans="1:9" ht="12.75" hidden="1">
      <c r="A268" s="1">
        <v>14</v>
      </c>
      <c r="B268" s="101">
        <f t="shared" si="31"/>
        <v>158891366.03498268</v>
      </c>
      <c r="C268" s="101">
        <f t="shared" si="32"/>
        <v>866698.1380738893</v>
      </c>
      <c r="D268" s="101">
        <f t="shared" si="33"/>
        <v>3905995.5688156565</v>
      </c>
      <c r="E268" s="101"/>
      <c r="F268" s="101"/>
      <c r="G268" s="102">
        <f t="shared" si="34"/>
        <v>-3905995.5688156565</v>
      </c>
      <c r="H268" s="102">
        <f t="shared" si="29"/>
        <v>303344.3483258612</v>
      </c>
      <c r="I268" s="103">
        <f t="shared" si="30"/>
        <v>-3602651.2204897953</v>
      </c>
    </row>
    <row r="269" spans="1:9" ht="12.75" hidden="1">
      <c r="A269" s="1">
        <v>15</v>
      </c>
      <c r="B269" s="101">
        <f t="shared" si="31"/>
        <v>155835801.43551636</v>
      </c>
      <c r="C269" s="101">
        <f t="shared" si="32"/>
        <v>850430.9693493308</v>
      </c>
      <c r="D269" s="101">
        <f t="shared" si="33"/>
        <v>3905995.5688156565</v>
      </c>
      <c r="E269" s="101"/>
      <c r="F269" s="101"/>
      <c r="G269" s="102">
        <f t="shared" si="34"/>
        <v>-3905995.5688156565</v>
      </c>
      <c r="H269" s="102">
        <f t="shared" si="29"/>
        <v>297650.83927226573</v>
      </c>
      <c r="I269" s="103">
        <f t="shared" si="30"/>
        <v>-3608344.7295433907</v>
      </c>
    </row>
    <row r="270" spans="1:9" ht="12.75" hidden="1">
      <c r="A270" s="1">
        <v>16</v>
      </c>
      <c r="B270" s="101">
        <f t="shared" si="31"/>
        <v>152763882.60089505</v>
      </c>
      <c r="C270" s="101">
        <f t="shared" si="32"/>
        <v>834076.7341943411</v>
      </c>
      <c r="D270" s="101">
        <f t="shared" si="33"/>
        <v>3905995.5688156565</v>
      </c>
      <c r="E270" s="101"/>
      <c r="F270" s="101"/>
      <c r="G270" s="102">
        <f t="shared" si="34"/>
        <v>-3905995.5688156565</v>
      </c>
      <c r="H270" s="102">
        <f t="shared" si="29"/>
        <v>291926.8569680194</v>
      </c>
      <c r="I270" s="103">
        <f t="shared" si="30"/>
        <v>-3614068.711847637</v>
      </c>
    </row>
    <row r="271" spans="1:9" ht="12.75" hidden="1">
      <c r="A271" s="1">
        <v>17</v>
      </c>
      <c r="B271" s="101">
        <f t="shared" si="31"/>
        <v>149675521.99868447</v>
      </c>
      <c r="C271" s="101">
        <f t="shared" si="32"/>
        <v>817634.966605067</v>
      </c>
      <c r="D271" s="101">
        <f t="shared" si="33"/>
        <v>3905995.5688156565</v>
      </c>
      <c r="E271" s="101"/>
      <c r="F271" s="101"/>
      <c r="G271" s="102">
        <f t="shared" si="34"/>
        <v>-3905995.5688156565</v>
      </c>
      <c r="H271" s="102">
        <f t="shared" si="29"/>
        <v>286172.23831177346</v>
      </c>
      <c r="I271" s="103">
        <f t="shared" si="30"/>
        <v>-3619823.330503883</v>
      </c>
    </row>
    <row r="272" spans="1:9" ht="12.75" hidden="1">
      <c r="A272" s="1">
        <v>18</v>
      </c>
      <c r="B272" s="101">
        <f t="shared" si="31"/>
        <v>146570631.62795228</v>
      </c>
      <c r="C272" s="101">
        <f t="shared" si="32"/>
        <v>801105.1980834724</v>
      </c>
      <c r="D272" s="101">
        <f t="shared" si="33"/>
        <v>3905995.5688156565</v>
      </c>
      <c r="E272" s="101"/>
      <c r="F272" s="101"/>
      <c r="G272" s="102">
        <f t="shared" si="34"/>
        <v>-3905995.5688156565</v>
      </c>
      <c r="H272" s="102">
        <f t="shared" si="29"/>
        <v>280386.81932921533</v>
      </c>
      <c r="I272" s="103">
        <f t="shared" si="30"/>
        <v>-3625608.7494864413</v>
      </c>
    </row>
    <row r="273" spans="1:9" ht="12.75" hidden="1">
      <c r="A273" s="1">
        <v>19</v>
      </c>
      <c r="B273" s="101">
        <f t="shared" si="31"/>
        <v>143449123.01676062</v>
      </c>
      <c r="C273" s="101">
        <f t="shared" si="32"/>
        <v>784486.9576239887</v>
      </c>
      <c r="D273" s="101">
        <f t="shared" si="33"/>
        <v>3905995.5688156565</v>
      </c>
      <c r="E273" s="101"/>
      <c r="F273" s="101"/>
      <c r="G273" s="102">
        <f t="shared" si="34"/>
        <v>-3905995.5688156565</v>
      </c>
      <c r="H273" s="102">
        <f t="shared" si="29"/>
        <v>274570.43516839604</v>
      </c>
      <c r="I273" s="103">
        <f t="shared" si="30"/>
        <v>-3631425.1336472603</v>
      </c>
    </row>
    <row r="274" spans="1:9" ht="12.75" hidden="1">
      <c r="A274" s="1">
        <v>20</v>
      </c>
      <c r="B274" s="101">
        <f t="shared" si="31"/>
        <v>140310907.21964505</v>
      </c>
      <c r="C274" s="101">
        <f t="shared" si="32"/>
        <v>767779.7717000943</v>
      </c>
      <c r="D274" s="101">
        <f t="shared" si="33"/>
        <v>3905995.5688156565</v>
      </c>
      <c r="E274" s="101"/>
      <c r="F274" s="101"/>
      <c r="G274" s="102">
        <f t="shared" si="34"/>
        <v>-3905995.5688156565</v>
      </c>
      <c r="H274" s="102">
        <f t="shared" si="29"/>
        <v>268722.920095033</v>
      </c>
      <c r="I274" s="103">
        <f t="shared" si="30"/>
        <v>-3637272.6487206235</v>
      </c>
    </row>
    <row r="275" spans="1:9" ht="12.75" hidden="1">
      <c r="A275" s="1">
        <v>21</v>
      </c>
      <c r="B275" s="101">
        <f t="shared" si="31"/>
        <v>137155894.81508023</v>
      </c>
      <c r="C275" s="101">
        <f t="shared" si="32"/>
        <v>750983.1642508212</v>
      </c>
      <c r="D275" s="101">
        <f t="shared" si="33"/>
        <v>3905995.5688156565</v>
      </c>
      <c r="E275" s="101"/>
      <c r="F275" s="101"/>
      <c r="G275" s="102">
        <f t="shared" si="34"/>
        <v>-3905995.5688156565</v>
      </c>
      <c r="H275" s="102">
        <f t="shared" si="29"/>
        <v>262844.10748778743</v>
      </c>
      <c r="I275" s="103">
        <f t="shared" si="30"/>
        <v>-3643151.461327869</v>
      </c>
    </row>
    <row r="276" spans="1:9" ht="12.75" hidden="1">
      <c r="A276" s="1">
        <v>22</v>
      </c>
      <c r="B276" s="101">
        <f t="shared" si="31"/>
        <v>133983995.90293176</v>
      </c>
      <c r="C276" s="101">
        <f t="shared" si="32"/>
        <v>734096.6566671903</v>
      </c>
      <c r="D276" s="101">
        <f t="shared" si="33"/>
        <v>3905995.5688156565</v>
      </c>
      <c r="E276" s="101"/>
      <c r="F276" s="101"/>
      <c r="G276" s="102">
        <f t="shared" si="34"/>
        <v>-3905995.5688156565</v>
      </c>
      <c r="H276" s="102">
        <f t="shared" si="29"/>
        <v>256933.82983351656</v>
      </c>
      <c r="I276" s="103">
        <f t="shared" si="30"/>
        <v>-3649061.73898214</v>
      </c>
    </row>
    <row r="277" spans="1:9" ht="12.75" hidden="1">
      <c r="A277" s="1">
        <v>23</v>
      </c>
      <c r="B277" s="101">
        <f t="shared" si="31"/>
        <v>130795120.10189466</v>
      </c>
      <c r="C277" s="101">
        <f t="shared" si="32"/>
        <v>717119.767778573</v>
      </c>
      <c r="D277" s="101">
        <f t="shared" si="33"/>
        <v>3905995.5688156565</v>
      </c>
      <c r="E277" s="101"/>
      <c r="F277" s="101"/>
      <c r="G277" s="102">
        <f t="shared" si="34"/>
        <v>-3905995.5688156565</v>
      </c>
      <c r="H277" s="102">
        <f t="shared" si="29"/>
        <v>250991.91872250053</v>
      </c>
      <c r="I277" s="103">
        <f t="shared" si="30"/>
        <v>-3655003.650093156</v>
      </c>
    </row>
    <row r="278" spans="1:12" ht="12.75" hidden="1">
      <c r="A278" s="106">
        <v>24</v>
      </c>
      <c r="B278" s="101">
        <f t="shared" si="31"/>
        <v>127589176.54691797</v>
      </c>
      <c r="C278" s="101">
        <f t="shared" si="32"/>
        <v>700052.0138389819</v>
      </c>
      <c r="D278" s="101">
        <f t="shared" si="33"/>
        <v>3905995.5688156565</v>
      </c>
      <c r="E278" s="107">
        <f>IF(A278&gt;$B$109,"",B113*$B$111)</f>
        <v>0</v>
      </c>
      <c r="F278" s="107"/>
      <c r="G278" s="102">
        <f t="shared" si="34"/>
        <v>-3905995.5688156565</v>
      </c>
      <c r="H278" s="102">
        <f t="shared" si="29"/>
        <v>245018.20484364365</v>
      </c>
      <c r="I278" s="103">
        <f t="shared" si="30"/>
        <v>-3660977.363972013</v>
      </c>
      <c r="J278" s="104">
        <f>SUM(I267:I278)</f>
        <v>-43544376.761068024</v>
      </c>
      <c r="K278" s="108"/>
      <c r="L278" s="108"/>
    </row>
    <row r="279" spans="1:9" ht="12.75" hidden="1">
      <c r="A279" s="1">
        <v>25</v>
      </c>
      <c r="B279" s="101">
        <f t="shared" si="31"/>
        <v>124366073.8866156</v>
      </c>
      <c r="C279" s="101">
        <f t="shared" si="32"/>
        <v>682892.9085132853</v>
      </c>
      <c r="D279" s="101">
        <f t="shared" si="33"/>
        <v>3905995.5688156565</v>
      </c>
      <c r="E279" s="101"/>
      <c r="F279" s="101"/>
      <c r="G279" s="102">
        <f t="shared" si="34"/>
        <v>-3905995.5688156565</v>
      </c>
      <c r="H279" s="102">
        <f t="shared" si="29"/>
        <v>239012.51797964986</v>
      </c>
      <c r="I279" s="103">
        <f t="shared" si="30"/>
        <v>-3666983.0508360066</v>
      </c>
    </row>
    <row r="280" spans="1:9" ht="12.75" hidden="1">
      <c r="A280" s="1">
        <v>26</v>
      </c>
      <c r="B280" s="101">
        <f t="shared" si="31"/>
        <v>121125720.2806633</v>
      </c>
      <c r="C280" s="101">
        <f t="shared" si="32"/>
        <v>665641.9628633508</v>
      </c>
      <c r="D280" s="101">
        <f t="shared" si="33"/>
        <v>3905995.5688156565</v>
      </c>
      <c r="E280" s="101"/>
      <c r="F280" s="101"/>
      <c r="G280" s="102">
        <f t="shared" si="34"/>
        <v>-3905995.5688156565</v>
      </c>
      <c r="H280" s="102">
        <f t="shared" si="29"/>
        <v>232974.68700217275</v>
      </c>
      <c r="I280" s="103">
        <f t="shared" si="30"/>
        <v>-3673020.881813484</v>
      </c>
    </row>
    <row r="281" spans="1:9" ht="12.75" hidden="1">
      <c r="A281" s="1">
        <v>27</v>
      </c>
      <c r="B281" s="101">
        <f t="shared" si="31"/>
        <v>117868023.39718175</v>
      </c>
      <c r="C281" s="101">
        <f t="shared" si="32"/>
        <v>648298.6853341116</v>
      </c>
      <c r="D281" s="101">
        <f t="shared" si="33"/>
        <v>3905995.5688156565</v>
      </c>
      <c r="E281" s="101"/>
      <c r="F281" s="101"/>
      <c r="G281" s="102">
        <f t="shared" si="34"/>
        <v>-3905995.5688156565</v>
      </c>
      <c r="H281" s="102">
        <f t="shared" si="29"/>
        <v>226904.53986693904</v>
      </c>
      <c r="I281" s="103">
        <f t="shared" si="30"/>
        <v>-3679091.0289487173</v>
      </c>
    </row>
    <row r="282" spans="1:9" ht="12.75" hidden="1">
      <c r="A282" s="1">
        <v>28</v>
      </c>
      <c r="B282" s="101">
        <f t="shared" si="31"/>
        <v>114592890.41010565</v>
      </c>
      <c r="C282" s="101">
        <f t="shared" si="32"/>
        <v>630862.5817395616</v>
      </c>
      <c r="D282" s="101">
        <f t="shared" si="33"/>
        <v>3905995.5688156565</v>
      </c>
      <c r="E282" s="101"/>
      <c r="F282" s="101"/>
      <c r="G282" s="102">
        <f t="shared" si="34"/>
        <v>-3905995.5688156565</v>
      </c>
      <c r="H282" s="102">
        <f t="shared" si="29"/>
        <v>220801.90360884657</v>
      </c>
      <c r="I282" s="103">
        <f t="shared" si="30"/>
        <v>-3685193.66520681</v>
      </c>
    </row>
    <row r="283" spans="1:9" ht="12.75" hidden="1">
      <c r="A283" s="1">
        <v>29</v>
      </c>
      <c r="B283" s="101">
        <f t="shared" si="31"/>
        <v>111300227.99653865</v>
      </c>
      <c r="C283" s="101">
        <f t="shared" si="32"/>
        <v>613333.155248673</v>
      </c>
      <c r="D283" s="101">
        <f t="shared" si="33"/>
        <v>3905995.5688156565</v>
      </c>
      <c r="E283" s="101"/>
      <c r="F283" s="101"/>
      <c r="G283" s="102">
        <f t="shared" si="34"/>
        <v>-3905995.5688156565</v>
      </c>
      <c r="H283" s="102">
        <f t="shared" si="29"/>
        <v>214666.60433703556</v>
      </c>
      <c r="I283" s="103">
        <f t="shared" si="30"/>
        <v>-3691328.964478621</v>
      </c>
    </row>
    <row r="284" spans="1:9" ht="12.75" hidden="1">
      <c r="A284" s="1">
        <v>30</v>
      </c>
      <c r="B284" s="101">
        <f t="shared" si="31"/>
        <v>107989942.33409423</v>
      </c>
      <c r="C284" s="101">
        <f t="shared" si="32"/>
        <v>595709.9063712396</v>
      </c>
      <c r="D284" s="101">
        <f t="shared" si="33"/>
        <v>3905995.5688156565</v>
      </c>
      <c r="E284" s="101"/>
      <c r="F284" s="101"/>
      <c r="G284" s="102">
        <f t="shared" si="34"/>
        <v>-3905995.5688156565</v>
      </c>
      <c r="H284" s="102">
        <f t="shared" si="29"/>
        <v>208498.46722993383</v>
      </c>
      <c r="I284" s="103">
        <f t="shared" si="30"/>
        <v>-3697497.1015857225</v>
      </c>
    </row>
    <row r="285" spans="1:9" ht="12.75" hidden="1">
      <c r="A285" s="1">
        <v>31</v>
      </c>
      <c r="B285" s="101">
        <f t="shared" si="31"/>
        <v>104661939.09822221</v>
      </c>
      <c r="C285" s="101">
        <f t="shared" si="32"/>
        <v>577992.3329436438</v>
      </c>
      <c r="D285" s="101">
        <f t="shared" si="33"/>
        <v>3905995.5688156565</v>
      </c>
      <c r="E285" s="101"/>
      <c r="F285" s="101"/>
      <c r="G285" s="102">
        <f t="shared" si="34"/>
        <v>-3905995.5688156565</v>
      </c>
      <c r="H285" s="102">
        <f t="shared" si="29"/>
        <v>202297.3165302753</v>
      </c>
      <c r="I285" s="103">
        <f t="shared" si="30"/>
        <v>-3703698.2522853813</v>
      </c>
    </row>
    <row r="286" spans="1:9" ht="12.75" hidden="1">
      <c r="A286" s="1">
        <v>32</v>
      </c>
      <c r="B286" s="101">
        <f t="shared" si="31"/>
        <v>101316123.4595211</v>
      </c>
      <c r="C286" s="101">
        <f t="shared" si="32"/>
        <v>560179.9301145484</v>
      </c>
      <c r="D286" s="101">
        <f t="shared" si="33"/>
        <v>3905995.5688156565</v>
      </c>
      <c r="E286" s="101"/>
      <c r="F286" s="101"/>
      <c r="G286" s="102">
        <f t="shared" si="34"/>
        <v>-3905995.5688156565</v>
      </c>
      <c r="H286" s="102">
        <f t="shared" si="29"/>
        <v>196062.97554009192</v>
      </c>
      <c r="I286" s="103">
        <f t="shared" si="30"/>
        <v>-3709932.5932755647</v>
      </c>
    </row>
    <row r="287" spans="1:9" ht="12.75" hidden="1">
      <c r="A287" s="1">
        <v>33</v>
      </c>
      <c r="B287" s="101">
        <f t="shared" si="31"/>
        <v>97952400.08103594</v>
      </c>
      <c r="C287" s="101">
        <f t="shared" si="32"/>
        <v>542272.1903305108</v>
      </c>
      <c r="D287" s="101">
        <f t="shared" si="33"/>
        <v>3905995.5688156565</v>
      </c>
      <c r="E287" s="101"/>
      <c r="F287" s="101"/>
      <c r="G287" s="102">
        <f t="shared" si="34"/>
        <v>-3905995.5688156565</v>
      </c>
      <c r="H287" s="102">
        <f t="shared" si="29"/>
        <v>189795.2666156788</v>
      </c>
      <c r="I287" s="103">
        <f t="shared" si="30"/>
        <v>-3716200.3021999775</v>
      </c>
    </row>
    <row r="288" spans="1:9" ht="12.75" hidden="1">
      <c r="A288" s="1">
        <v>34</v>
      </c>
      <c r="B288" s="101">
        <f t="shared" si="31"/>
        <v>94570673.1155418</v>
      </c>
      <c r="C288" s="101">
        <f t="shared" si="32"/>
        <v>524268.6033215206</v>
      </c>
      <c r="D288" s="101">
        <f t="shared" si="33"/>
        <v>3905995.5688156565</v>
      </c>
      <c r="E288" s="101"/>
      <c r="F288" s="101"/>
      <c r="G288" s="102">
        <f t="shared" si="34"/>
        <v>-3905995.5688156565</v>
      </c>
      <c r="H288" s="102">
        <f t="shared" si="29"/>
        <v>183494.0111625322</v>
      </c>
      <c r="I288" s="103">
        <f t="shared" si="30"/>
        <v>-3722501.5576531244</v>
      </c>
    </row>
    <row r="289" spans="1:9" ht="12.75" hidden="1">
      <c r="A289" s="1">
        <v>35</v>
      </c>
      <c r="B289" s="101">
        <f t="shared" si="31"/>
        <v>91170846.2028126</v>
      </c>
      <c r="C289" s="101">
        <f t="shared" si="32"/>
        <v>506168.6560864596</v>
      </c>
      <c r="D289" s="101">
        <f t="shared" si="33"/>
        <v>3905995.5688156565</v>
      </c>
      <c r="E289" s="101"/>
      <c r="F289" s="101"/>
      <c r="G289" s="102">
        <f t="shared" si="34"/>
        <v>-3905995.5688156565</v>
      </c>
      <c r="H289" s="102">
        <f t="shared" si="29"/>
        <v>177159.02963026083</v>
      </c>
      <c r="I289" s="103">
        <f t="shared" si="30"/>
        <v>-3728836.5391853955</v>
      </c>
    </row>
    <row r="290" spans="1:12" ht="12.75" hidden="1">
      <c r="A290" s="106">
        <v>36</v>
      </c>
      <c r="B290" s="101">
        <f t="shared" si="31"/>
        <v>87752822.46687542</v>
      </c>
      <c r="C290" s="101">
        <f t="shared" si="32"/>
        <v>487971.83287848445</v>
      </c>
      <c r="D290" s="101">
        <f t="shared" si="33"/>
        <v>3905995.5688156565</v>
      </c>
      <c r="E290" s="107">
        <f>IF(A290&gt;$B$109,"",B125*$B$111)</f>
        <v>0</v>
      </c>
      <c r="F290" s="107"/>
      <c r="G290" s="102">
        <f t="shared" si="34"/>
        <v>-3905995.5688156565</v>
      </c>
      <c r="H290" s="102">
        <f t="shared" si="29"/>
        <v>170790.14150746955</v>
      </c>
      <c r="I290" s="103">
        <f t="shared" si="30"/>
        <v>-3735205.427308187</v>
      </c>
      <c r="J290" s="104">
        <f>SUM(I279:I290)</f>
        <v>-44409489.36477699</v>
      </c>
      <c r="K290" s="108"/>
      <c r="L290" s="108"/>
    </row>
    <row r="291" spans="1:9" ht="12.75" hidden="1">
      <c r="A291" s="1">
        <v>37</v>
      </c>
      <c r="B291" s="101">
        <f t="shared" si="31"/>
        <v>84316504.51325008</v>
      </c>
      <c r="C291" s="101">
        <f t="shared" si="32"/>
        <v>469677.61519033083</v>
      </c>
      <c r="D291" s="101">
        <f t="shared" si="33"/>
        <v>3905995.5688156565</v>
      </c>
      <c r="E291" s="101"/>
      <c r="F291" s="101"/>
      <c r="G291" s="102">
        <f t="shared" si="34"/>
        <v>-3905995.5688156565</v>
      </c>
      <c r="H291" s="102">
        <f t="shared" si="29"/>
        <v>164387.16531661578</v>
      </c>
      <c r="I291" s="103">
        <f t="shared" si="30"/>
        <v>-3741608.4034990408</v>
      </c>
    </row>
    <row r="292" spans="1:9" ht="12.75" hidden="1">
      <c r="A292" s="1">
        <v>38</v>
      </c>
      <c r="B292" s="101">
        <f t="shared" si="31"/>
        <v>80861794.42617396</v>
      </c>
      <c r="C292" s="101">
        <f t="shared" si="32"/>
        <v>451285.48173953843</v>
      </c>
      <c r="D292" s="101">
        <f t="shared" si="33"/>
        <v>3905995.5688156565</v>
      </c>
      <c r="E292" s="101"/>
      <c r="F292" s="101"/>
      <c r="G292" s="102">
        <f t="shared" si="34"/>
        <v>-3905995.5688156565</v>
      </c>
      <c r="H292" s="102">
        <f t="shared" si="29"/>
        <v>157949.91860883843</v>
      </c>
      <c r="I292" s="103">
        <f t="shared" si="30"/>
        <v>-3748045.6502068182</v>
      </c>
    </row>
    <row r="293" spans="1:9" ht="12.75" hidden="1">
      <c r="A293" s="1">
        <v>39</v>
      </c>
      <c r="B293" s="101">
        <f t="shared" si="31"/>
        <v>77388593.76581189</v>
      </c>
      <c r="C293" s="101">
        <f t="shared" si="32"/>
        <v>432794.9084535978</v>
      </c>
      <c r="D293" s="101">
        <f t="shared" si="33"/>
        <v>3905995.5688156565</v>
      </c>
      <c r="E293" s="101"/>
      <c r="F293" s="101"/>
      <c r="G293" s="102">
        <f t="shared" si="34"/>
        <v>-3905995.5688156565</v>
      </c>
      <c r="H293" s="102">
        <f t="shared" si="29"/>
        <v>151478.21795875923</v>
      </c>
      <c r="I293" s="103">
        <f t="shared" si="30"/>
        <v>-3754517.3508568974</v>
      </c>
    </row>
    <row r="294" spans="1:9" ht="12.75" hidden="1">
      <c r="A294" s="1">
        <v>40</v>
      </c>
      <c r="B294" s="101">
        <f t="shared" si="31"/>
        <v>73896803.56545125</v>
      </c>
      <c r="C294" s="101">
        <f t="shared" si="32"/>
        <v>414205.36845501704</v>
      </c>
      <c r="D294" s="101">
        <f t="shared" si="33"/>
        <v>3905995.5688156565</v>
      </c>
      <c r="E294" s="101"/>
      <c r="F294" s="101"/>
      <c r="G294" s="102">
        <f t="shared" si="34"/>
        <v>-3905995.5688156565</v>
      </c>
      <c r="H294" s="102">
        <f t="shared" si="29"/>
        <v>144971.87895925596</v>
      </c>
      <c r="I294" s="103">
        <f t="shared" si="30"/>
        <v>-3761023.6898564007</v>
      </c>
    </row>
    <row r="295" spans="1:9" ht="12.75" hidden="1">
      <c r="A295" s="1">
        <v>41</v>
      </c>
      <c r="B295" s="101">
        <f t="shared" si="31"/>
        <v>70386324.3286819</v>
      </c>
      <c r="C295" s="101">
        <f t="shared" si="32"/>
        <v>395516.33204630873</v>
      </c>
      <c r="D295" s="101">
        <f t="shared" si="33"/>
        <v>3905995.5688156565</v>
      </c>
      <c r="E295" s="101"/>
      <c r="F295" s="101"/>
      <c r="G295" s="102">
        <f t="shared" si="34"/>
        <v>-3905995.5688156565</v>
      </c>
      <c r="H295" s="102">
        <f t="shared" si="29"/>
        <v>138430.71621620803</v>
      </c>
      <c r="I295" s="103">
        <f t="shared" si="30"/>
        <v>-3767564.8525994485</v>
      </c>
    </row>
    <row r="296" spans="1:9" ht="12.75" hidden="1">
      <c r="A296" s="1">
        <v>42</v>
      </c>
      <c r="B296" s="101">
        <f t="shared" si="31"/>
        <v>66857056.02656115</v>
      </c>
      <c r="C296" s="101">
        <f t="shared" si="32"/>
        <v>376727.26669489645</v>
      </c>
      <c r="D296" s="101">
        <f t="shared" si="33"/>
        <v>3905995.5688156565</v>
      </c>
      <c r="E296" s="101"/>
      <c r="F296" s="101"/>
      <c r="G296" s="102">
        <f t="shared" si="34"/>
        <v>-3905995.5688156565</v>
      </c>
      <c r="H296" s="102">
        <f t="shared" si="29"/>
        <v>131854.54334321374</v>
      </c>
      <c r="I296" s="103">
        <f t="shared" si="30"/>
        <v>-3774141.0254724426</v>
      </c>
    </row>
    <row r="297" spans="1:9" ht="12.75" hidden="1">
      <c r="A297" s="1">
        <v>43</v>
      </c>
      <c r="B297" s="101">
        <f t="shared" si="31"/>
        <v>63308898.094763435</v>
      </c>
      <c r="C297" s="101">
        <f t="shared" si="32"/>
        <v>357837.6370179409</v>
      </c>
      <c r="D297" s="101">
        <f t="shared" si="33"/>
        <v>3905995.5688156565</v>
      </c>
      <c r="E297" s="101"/>
      <c r="F297" s="101"/>
      <c r="G297" s="102">
        <f t="shared" si="34"/>
        <v>-3905995.5688156565</v>
      </c>
      <c r="H297" s="102">
        <f t="shared" si="29"/>
        <v>125243.17295627932</v>
      </c>
      <c r="I297" s="103">
        <f t="shared" si="30"/>
        <v>-3780752.395859377</v>
      </c>
    </row>
    <row r="298" spans="1:9" ht="12.75" hidden="1">
      <c r="A298" s="1">
        <v>44</v>
      </c>
      <c r="B298" s="101">
        <f t="shared" si="31"/>
        <v>59741749.43071486</v>
      </c>
      <c r="C298" s="101">
        <f t="shared" si="32"/>
        <v>338846.90476708405</v>
      </c>
      <c r="D298" s="101">
        <f t="shared" si="33"/>
        <v>3905995.5688156565</v>
      </c>
      <c r="E298" s="101"/>
      <c r="F298" s="101"/>
      <c r="G298" s="102">
        <f t="shared" si="34"/>
        <v>-3905995.5688156565</v>
      </c>
      <c r="H298" s="102">
        <f t="shared" si="29"/>
        <v>118596.4166684794</v>
      </c>
      <c r="I298" s="103">
        <f t="shared" si="30"/>
        <v>-3787399.152147177</v>
      </c>
    </row>
    <row r="299" spans="1:9" ht="12.75" hidden="1">
      <c r="A299" s="1">
        <v>45</v>
      </c>
      <c r="B299" s="101">
        <f t="shared" si="31"/>
        <v>56155508.39071231</v>
      </c>
      <c r="C299" s="101">
        <f t="shared" si="32"/>
        <v>319754.52881311247</v>
      </c>
      <c r="D299" s="101">
        <f t="shared" si="33"/>
        <v>3905995.5688156565</v>
      </c>
      <c r="E299" s="101"/>
      <c r="F299" s="101"/>
      <c r="G299" s="102">
        <f t="shared" si="34"/>
        <v>-3905995.5688156565</v>
      </c>
      <c r="H299" s="102">
        <f t="shared" si="29"/>
        <v>111914.08508458936</v>
      </c>
      <c r="I299" s="103">
        <f t="shared" si="30"/>
        <v>-3794081.4837310673</v>
      </c>
    </row>
    <row r="300" spans="1:9" ht="12.75" hidden="1">
      <c r="A300" s="1">
        <v>46</v>
      </c>
      <c r="B300" s="101">
        <f t="shared" si="31"/>
        <v>52550072.787027195</v>
      </c>
      <c r="C300" s="101">
        <f t="shared" si="32"/>
        <v>300559.96513053804</v>
      </c>
      <c r="D300" s="101">
        <f t="shared" si="33"/>
        <v>3905995.5688156565</v>
      </c>
      <c r="E300" s="101"/>
      <c r="F300" s="101"/>
      <c r="G300" s="102">
        <f t="shared" si="34"/>
        <v>-3905995.5688156565</v>
      </c>
      <c r="H300" s="102">
        <f t="shared" si="29"/>
        <v>105195.98779568831</v>
      </c>
      <c r="I300" s="103">
        <f t="shared" si="30"/>
        <v>-3800799.5810199683</v>
      </c>
    </row>
    <row r="301" spans="1:9" ht="12.75" hidden="1">
      <c r="A301" s="1">
        <v>47</v>
      </c>
      <c r="B301" s="101">
        <f t="shared" si="31"/>
        <v>48925339.884993635</v>
      </c>
      <c r="C301" s="101">
        <f t="shared" si="32"/>
        <v>281262.6667820963</v>
      </c>
      <c r="D301" s="101">
        <f t="shared" si="33"/>
        <v>3905995.5688156565</v>
      </c>
      <c r="E301" s="101"/>
      <c r="F301" s="101"/>
      <c r="G301" s="102">
        <f t="shared" si="34"/>
        <v>-3905995.5688156565</v>
      </c>
      <c r="H301" s="102">
        <f t="shared" si="29"/>
        <v>98441.9333737337</v>
      </c>
      <c r="I301" s="103">
        <f t="shared" si="30"/>
        <v>-3807553.6354419226</v>
      </c>
    </row>
    <row r="302" spans="1:12" ht="12.75" hidden="1">
      <c r="A302" s="106">
        <v>48</v>
      </c>
      <c r="B302" s="101">
        <f t="shared" si="31"/>
        <v>45281206.40008114</v>
      </c>
      <c r="C302" s="101">
        <f t="shared" si="32"/>
        <v>261862.08390316172</v>
      </c>
      <c r="D302" s="101">
        <f t="shared" si="33"/>
        <v>3905995.5688156565</v>
      </c>
      <c r="E302" s="107">
        <f>IF(A302&gt;$B$109,"",B137*$B$111)</f>
        <v>0</v>
      </c>
      <c r="F302" s="107"/>
      <c r="G302" s="102">
        <f t="shared" si="34"/>
        <v>-3905995.5688156565</v>
      </c>
      <c r="H302" s="102">
        <f t="shared" si="29"/>
        <v>91651.72936610659</v>
      </c>
      <c r="I302" s="103">
        <f t="shared" si="30"/>
        <v>-3814343.83944955</v>
      </c>
      <c r="J302" s="104">
        <f>SUM(I291:I302)</f>
        <v>-45331831.0601401</v>
      </c>
      <c r="K302" s="108"/>
      <c r="L302" s="108"/>
    </row>
    <row r="303" spans="1:9" ht="12.75" hidden="1">
      <c r="A303" s="1">
        <v>49</v>
      </c>
      <c r="B303" s="101">
        <f t="shared" si="31"/>
        <v>41617568.49495157</v>
      </c>
      <c r="C303" s="101">
        <f t="shared" si="32"/>
        <v>242357.66368607976</v>
      </c>
      <c r="D303" s="101">
        <f t="shared" si="33"/>
        <v>3905995.5688156565</v>
      </c>
      <c r="E303" s="101"/>
      <c r="F303" s="101"/>
      <c r="G303" s="102">
        <f t="shared" si="34"/>
        <v>-3905995.5688156565</v>
      </c>
      <c r="H303" s="102">
        <f t="shared" si="29"/>
        <v>84825.18229012791</v>
      </c>
      <c r="I303" s="103">
        <f t="shared" si="30"/>
        <v>-3821170.3865255285</v>
      </c>
    </row>
    <row r="304" spans="1:9" ht="12.75" hidden="1">
      <c r="A304" s="1">
        <v>50</v>
      </c>
      <c r="B304" s="101">
        <f t="shared" si="31"/>
        <v>37934321.77650033</v>
      </c>
      <c r="C304" s="101">
        <f t="shared" si="32"/>
        <v>222748.8503644149</v>
      </c>
      <c r="D304" s="101">
        <f t="shared" si="33"/>
        <v>3905995.5688156565</v>
      </c>
      <c r="E304" s="101"/>
      <c r="F304" s="101"/>
      <c r="G304" s="102">
        <f t="shared" si="34"/>
        <v>-3905995.5688156565</v>
      </c>
      <c r="H304" s="102">
        <f t="shared" si="29"/>
        <v>77962.09762754521</v>
      </c>
      <c r="I304" s="103">
        <f t="shared" si="30"/>
        <v>-3828033.471188111</v>
      </c>
    </row>
    <row r="305" spans="1:9" ht="12.75" hidden="1">
      <c r="A305" s="1">
        <v>51</v>
      </c>
      <c r="B305" s="101">
        <f t="shared" si="31"/>
        <v>34231361.29288179</v>
      </c>
      <c r="C305" s="101">
        <f t="shared" si="32"/>
        <v>203035.08519711444</v>
      </c>
      <c r="D305" s="101">
        <f t="shared" si="33"/>
        <v>3905995.5688156565</v>
      </c>
      <c r="E305" s="101"/>
      <c r="F305" s="101"/>
      <c r="G305" s="102">
        <f t="shared" si="34"/>
        <v>-3905995.5688156565</v>
      </c>
      <c r="H305" s="102">
        <f t="shared" si="29"/>
        <v>71062.27981899005</v>
      </c>
      <c r="I305" s="103">
        <f t="shared" si="30"/>
        <v>-3834933.288996666</v>
      </c>
    </row>
    <row r="306" spans="1:9" ht="12.75" hidden="1">
      <c r="A306" s="1">
        <v>52</v>
      </c>
      <c r="B306" s="101">
        <f t="shared" si="31"/>
        <v>30508581.530518718</v>
      </c>
      <c r="C306" s="101">
        <f t="shared" si="32"/>
        <v>183215.80645258748</v>
      </c>
      <c r="D306" s="101">
        <f t="shared" si="33"/>
        <v>3905995.5688156565</v>
      </c>
      <c r="E306" s="101"/>
      <c r="F306" s="101"/>
      <c r="G306" s="102">
        <f t="shared" si="34"/>
        <v>-3905995.5688156565</v>
      </c>
      <c r="H306" s="102">
        <f t="shared" si="29"/>
        <v>64125.53225840561</v>
      </c>
      <c r="I306" s="103">
        <f t="shared" si="30"/>
        <v>-3841870.0365572507</v>
      </c>
    </row>
    <row r="307" spans="1:9" ht="12.75" hidden="1">
      <c r="A307" s="1">
        <v>53</v>
      </c>
      <c r="B307" s="101">
        <f t="shared" si="31"/>
        <v>26765876.41109576</v>
      </c>
      <c r="C307" s="101">
        <f t="shared" si="32"/>
        <v>163290.44939269882</v>
      </c>
      <c r="D307" s="101">
        <f t="shared" si="33"/>
        <v>3905995.5688156565</v>
      </c>
      <c r="E307" s="101"/>
      <c r="F307" s="101"/>
      <c r="G307" s="102">
        <f t="shared" si="34"/>
        <v>-3905995.5688156565</v>
      </c>
      <c r="H307" s="102">
        <f t="shared" si="29"/>
        <v>57151.657287444585</v>
      </c>
      <c r="I307" s="103">
        <f t="shared" si="30"/>
        <v>-3848843.911528212</v>
      </c>
    </row>
    <row r="308" spans="1:9" ht="12.75" hidden="1">
      <c r="A308" s="1">
        <v>54</v>
      </c>
      <c r="B308" s="101">
        <f t="shared" si="31"/>
        <v>23003139.288536783</v>
      </c>
      <c r="C308" s="101">
        <f t="shared" si="32"/>
        <v>143258.44625667698</v>
      </c>
      <c r="D308" s="101">
        <f t="shared" si="33"/>
        <v>3905995.5688156565</v>
      </c>
      <c r="E308" s="101"/>
      <c r="F308" s="101"/>
      <c r="G308" s="102">
        <f t="shared" si="34"/>
        <v>-3905995.5688156565</v>
      </c>
      <c r="H308" s="102">
        <f t="shared" si="29"/>
        <v>50140.45618983694</v>
      </c>
      <c r="I308" s="103">
        <f t="shared" si="30"/>
        <v>-3855855.1126258196</v>
      </c>
    </row>
    <row r="309" spans="1:9" ht="12.75" hidden="1">
      <c r="A309" s="1">
        <v>55</v>
      </c>
      <c r="B309" s="101">
        <f t="shared" si="31"/>
        <v>19220262.945966065</v>
      </c>
      <c r="C309" s="101">
        <f t="shared" si="32"/>
        <v>123119.22624493625</v>
      </c>
      <c r="D309" s="101">
        <f t="shared" si="33"/>
        <v>3905995.5688156565</v>
      </c>
      <c r="E309" s="101"/>
      <c r="F309" s="101"/>
      <c r="G309" s="102">
        <f t="shared" si="34"/>
        <v>-3905995.5688156565</v>
      </c>
      <c r="H309" s="102">
        <f t="shared" si="29"/>
        <v>43091.72918572769</v>
      </c>
      <c r="I309" s="103">
        <f t="shared" si="30"/>
        <v>-3862903.8396299286</v>
      </c>
    </row>
    <row r="310" spans="1:9" ht="12.75" hidden="1">
      <c r="A310" s="1">
        <v>56</v>
      </c>
      <c r="B310" s="101">
        <f t="shared" si="31"/>
        <v>15417139.592653222</v>
      </c>
      <c r="C310" s="101">
        <f t="shared" si="32"/>
        <v>102872.21550281215</v>
      </c>
      <c r="D310" s="101">
        <f t="shared" si="33"/>
        <v>3905995.5688156565</v>
      </c>
      <c r="E310" s="101"/>
      <c r="F310" s="101"/>
      <c r="G310" s="102">
        <f t="shared" si="34"/>
        <v>-3905995.5688156565</v>
      </c>
      <c r="H310" s="102">
        <f t="shared" si="29"/>
        <v>36005.27542598425</v>
      </c>
      <c r="I310" s="103">
        <f t="shared" si="30"/>
        <v>-3869990.2933896724</v>
      </c>
    </row>
    <row r="311" spans="1:9" ht="12.75" hidden="1">
      <c r="A311" s="1">
        <v>57</v>
      </c>
      <c r="B311" s="101">
        <f t="shared" si="31"/>
        <v>11593660.860941777</v>
      </c>
      <c r="C311" s="101">
        <f t="shared" si="32"/>
        <v>82516.83710420971</v>
      </c>
      <c r="D311" s="101">
        <f t="shared" si="33"/>
        <v>3905995.5688156565</v>
      </c>
      <c r="E311" s="101"/>
      <c r="F311" s="101"/>
      <c r="G311" s="102">
        <f t="shared" si="34"/>
        <v>-3905995.5688156565</v>
      </c>
      <c r="H311" s="102">
        <f t="shared" si="29"/>
        <v>28880.8929864734</v>
      </c>
      <c r="I311" s="103">
        <f t="shared" si="30"/>
        <v>-3877114.675829183</v>
      </c>
    </row>
    <row r="312" spans="1:9" ht="12.75" hidden="1">
      <c r="A312" s="1">
        <v>58</v>
      </c>
      <c r="B312" s="101">
        <f t="shared" si="31"/>
        <v>7749717.803161286</v>
      </c>
      <c r="C312" s="101">
        <f t="shared" si="32"/>
        <v>62052.511035164425</v>
      </c>
      <c r="D312" s="101">
        <f t="shared" si="33"/>
        <v>3905995.5688156565</v>
      </c>
      <c r="E312" s="101"/>
      <c r="F312" s="101"/>
      <c r="G312" s="102">
        <f t="shared" si="34"/>
        <v>-3905995.5688156565</v>
      </c>
      <c r="H312" s="102">
        <f t="shared" si="29"/>
        <v>21718.37886230755</v>
      </c>
      <c r="I312" s="103">
        <f t="shared" si="30"/>
        <v>-3884277.189953349</v>
      </c>
    </row>
    <row r="313" spans="1:9" ht="12.75" hidden="1">
      <c r="A313" s="1">
        <v>59</v>
      </c>
      <c r="B313" s="101">
        <f t="shared" si="31"/>
        <v>3885200.888522944</v>
      </c>
      <c r="C313" s="101">
        <f t="shared" si="32"/>
        <v>41478.65417731499</v>
      </c>
      <c r="D313" s="101">
        <f t="shared" si="33"/>
        <v>3905995.5688156565</v>
      </c>
      <c r="E313" s="101"/>
      <c r="F313" s="101"/>
      <c r="G313" s="102">
        <f t="shared" si="34"/>
        <v>-3905995.5688156565</v>
      </c>
      <c r="H313" s="102">
        <f t="shared" si="29"/>
        <v>14517.528962060245</v>
      </c>
      <c r="I313" s="103">
        <f t="shared" si="30"/>
        <v>-3891478.039853596</v>
      </c>
    </row>
    <row r="314" spans="1:12" ht="12.75" hidden="1">
      <c r="A314" s="106">
        <v>60</v>
      </c>
      <c r="B314" s="101">
        <f t="shared" si="31"/>
        <v>-1.4249235391616821E-06</v>
      </c>
      <c r="C314" s="101">
        <f t="shared" si="32"/>
        <v>20794.68029128779</v>
      </c>
      <c r="D314" s="101">
        <f t="shared" si="33"/>
        <v>3905995.5688156565</v>
      </c>
      <c r="E314" s="107">
        <f>IF(A314&gt;$B$109,"",B150*$B$111)</f>
        <v>0</v>
      </c>
      <c r="F314" s="107"/>
      <c r="G314" s="102">
        <f t="shared" si="34"/>
        <v>-3905995.5688156565</v>
      </c>
      <c r="H314" s="102">
        <f t="shared" si="29"/>
        <v>7278.138101950726</v>
      </c>
      <c r="I314" s="103">
        <f t="shared" si="30"/>
        <v>-3898717.4307137057</v>
      </c>
      <c r="J314" s="104">
        <f>SUM(I303:I314)</f>
        <v>-46315187.67679102</v>
      </c>
      <c r="K314" s="108"/>
      <c r="L314" s="108"/>
    </row>
    <row r="315" spans="2:8" ht="12.75" hidden="1">
      <c r="B315" s="101"/>
      <c r="C315" s="101"/>
      <c r="D315" s="101"/>
      <c r="E315" s="101"/>
      <c r="F315" s="101"/>
      <c r="G315" s="102"/>
      <c r="H315" s="102"/>
    </row>
    <row r="316" spans="2:10" ht="12.75" hidden="1">
      <c r="B316" s="101"/>
      <c r="C316" s="101"/>
      <c r="D316" s="101"/>
      <c r="E316" s="101"/>
      <c r="F316" s="101"/>
      <c r="G316" s="102"/>
      <c r="I316" s="107" t="s">
        <v>55</v>
      </c>
      <c r="J316" s="109">
        <f>IRR(I254:I314,$B$107)</f>
        <v>0.003478981544883937</v>
      </c>
    </row>
    <row r="317" ht="12.75" hidden="1"/>
    <row r="318" ht="12.75" hidden="1"/>
    <row r="319" spans="1:9" ht="12.75" hidden="1">
      <c r="A319" s="1" t="str">
        <f>A150</f>
        <v>BANCO 3</v>
      </c>
      <c r="D319" s="105"/>
      <c r="I319" s="11"/>
    </row>
    <row r="320" ht="12.75" hidden="1">
      <c r="A320" s="1"/>
    </row>
    <row r="321" spans="1:10" ht="12.75" hidden="1">
      <c r="A321" s="1" t="s">
        <v>67</v>
      </c>
      <c r="B321" t="s">
        <v>28</v>
      </c>
      <c r="C321" t="s">
        <v>68</v>
      </c>
      <c r="D321" t="s">
        <v>69</v>
      </c>
      <c r="E321" t="s">
        <v>70</v>
      </c>
      <c r="G321" s="1" t="s">
        <v>71</v>
      </c>
      <c r="H321" s="1" t="s">
        <v>72</v>
      </c>
      <c r="I321" t="s">
        <v>71</v>
      </c>
      <c r="J321" t="s">
        <v>73</v>
      </c>
    </row>
    <row r="322" spans="1:12" ht="12.75" hidden="1">
      <c r="A322" s="1">
        <v>0</v>
      </c>
      <c r="B322" s="101">
        <f>B152</f>
        <v>300000000</v>
      </c>
      <c r="C322" s="101"/>
      <c r="D322" s="101"/>
      <c r="E322" s="101">
        <f>B152*$B$161</f>
        <v>0</v>
      </c>
      <c r="F322" s="101"/>
      <c r="G322" s="102">
        <f>B322-E322</f>
        <v>300000000</v>
      </c>
      <c r="H322" s="102">
        <f aca="true" t="shared" si="35" ref="H322:H382">IF(A322&gt;$B$160,"",(E322+C322)*$F$38)</f>
        <v>0</v>
      </c>
      <c r="I322" s="103">
        <f>G322+H322</f>
        <v>300000000</v>
      </c>
      <c r="J322" s="104">
        <f>I322</f>
        <v>300000000</v>
      </c>
      <c r="L322" s="103">
        <f>J322</f>
        <v>300000000</v>
      </c>
    </row>
    <row r="323" spans="1:13" ht="12.75" hidden="1">
      <c r="A323" s="1">
        <v>1</v>
      </c>
      <c r="B323" s="101">
        <f>IF(A323&gt;$B$160,"",B322+C323-D323)</f>
        <v>295201791.5394764</v>
      </c>
      <c r="C323" s="101">
        <f>IF(A323&gt;$B$160,"",B322*$B$158)</f>
        <v>4284521.939625541</v>
      </c>
      <c r="D323" s="101">
        <f>IF(A323&gt;$B$160,"",$B$322/((((1+$B$158)^$B$160-1)/($B$158*(1+$B$158)^$B$160))))</f>
        <v>9082730.400149168</v>
      </c>
      <c r="E323" s="101"/>
      <c r="F323" s="101"/>
      <c r="G323" s="102">
        <f>IF(A323&gt;$B$160,"",-D323-E323)</f>
        <v>-9082730.400149168</v>
      </c>
      <c r="H323" s="102">
        <f t="shared" si="35"/>
        <v>1499582.6788689392</v>
      </c>
      <c r="I323" s="103">
        <f aca="true" t="shared" si="36" ref="I323:I382">IF(A323&gt;$B$160,"",G323+H323)</f>
        <v>-7583147.721280229</v>
      </c>
      <c r="L323" s="103">
        <f>J334</f>
        <v>-92658577.22088815</v>
      </c>
      <c r="M323" s="78"/>
    </row>
    <row r="324" spans="1:12" ht="12.75" hidden="1">
      <c r="A324" s="1">
        <v>2</v>
      </c>
      <c r="B324" s="101">
        <f aca="true" t="shared" si="37" ref="B324:B382">IF(A324&gt;$B$160,"",B323+C324-D324)</f>
        <v>290335056.3142194</v>
      </c>
      <c r="C324" s="101">
        <f aca="true" t="shared" si="38" ref="C324:C382">IF(A324&gt;$B$160,"",B323*$B$158)</f>
        <v>4215995.174892173</v>
      </c>
      <c r="D324" s="101">
        <f aca="true" t="shared" si="39" ref="D324:D382">IF(A324&gt;$B$160,"",$B$322/((((1+$B$158)^$B$160-1)/($B$158*(1+$B$158)^$B$160))))</f>
        <v>9082730.400149168</v>
      </c>
      <c r="E324" s="101"/>
      <c r="F324" s="101"/>
      <c r="G324" s="102">
        <f aca="true" t="shared" si="40" ref="G324:G382">IF(A324&gt;$B$160,"",-D324-E324)</f>
        <v>-9082730.400149168</v>
      </c>
      <c r="H324" s="102">
        <f t="shared" si="35"/>
        <v>1475598.3112122605</v>
      </c>
      <c r="I324" s="103">
        <f t="shared" si="36"/>
        <v>-7607132.088936908</v>
      </c>
      <c r="L324" s="103">
        <f>J346</f>
        <v>-96705043.3731166</v>
      </c>
    </row>
    <row r="325" spans="1:12" ht="12.75" hidden="1">
      <c r="A325" s="1">
        <v>3</v>
      </c>
      <c r="B325" s="101">
        <f t="shared" si="37"/>
        <v>285398815.6428059</v>
      </c>
      <c r="C325" s="101">
        <f t="shared" si="38"/>
        <v>4146489.728735633</v>
      </c>
      <c r="D325" s="101">
        <f t="shared" si="39"/>
        <v>9082730.400149168</v>
      </c>
      <c r="E325" s="101"/>
      <c r="F325" s="101"/>
      <c r="G325" s="102">
        <f t="shared" si="40"/>
        <v>-9082730.400149168</v>
      </c>
      <c r="H325" s="102">
        <f t="shared" si="35"/>
        <v>1451271.4050574715</v>
      </c>
      <c r="I325" s="103">
        <f t="shared" si="36"/>
        <v>-7631458.995091697</v>
      </c>
      <c r="L325" s="103">
        <f>J358</f>
        <v>-101502148.04675372</v>
      </c>
    </row>
    <row r="326" spans="1:12" ht="12.75" hidden="1">
      <c r="A326" s="1">
        <v>4</v>
      </c>
      <c r="B326" s="101">
        <f t="shared" si="37"/>
        <v>280392076.8665392</v>
      </c>
      <c r="C326" s="101">
        <f t="shared" si="38"/>
        <v>4075991.6238824893</v>
      </c>
      <c r="D326" s="101">
        <f t="shared" si="39"/>
        <v>9082730.400149168</v>
      </c>
      <c r="E326" s="101"/>
      <c r="F326" s="101"/>
      <c r="G326" s="102">
        <f t="shared" si="40"/>
        <v>-9082730.400149168</v>
      </c>
      <c r="H326" s="102">
        <f t="shared" si="35"/>
        <v>1426597.0683588712</v>
      </c>
      <c r="I326" s="103">
        <f t="shared" si="36"/>
        <v>-7656133.331790297</v>
      </c>
      <c r="L326" s="103">
        <f>J370</f>
        <v>-79804095.5636051</v>
      </c>
    </row>
    <row r="327" spans="1:12" ht="12.75" hidden="1">
      <c r="A327" s="1">
        <v>5</v>
      </c>
      <c r="B327" s="101">
        <f t="shared" si="37"/>
        <v>275313833.14982957</v>
      </c>
      <c r="C327" s="101">
        <f t="shared" si="38"/>
        <v>4004486.683439527</v>
      </c>
      <c r="D327" s="101">
        <f t="shared" si="39"/>
        <v>9082730.400149168</v>
      </c>
      <c r="E327" s="101"/>
      <c r="F327" s="101"/>
      <c r="G327" s="102">
        <f t="shared" si="40"/>
        <v>-9082730.400149168</v>
      </c>
      <c r="H327" s="102">
        <f t="shared" si="35"/>
        <v>1401570.3392038345</v>
      </c>
      <c r="I327" s="103">
        <f t="shared" si="36"/>
        <v>-7681160.060945334</v>
      </c>
      <c r="L327" s="103">
        <f>J382</f>
        <v>0</v>
      </c>
    </row>
    <row r="328" spans="1:9" ht="12.75" hidden="1">
      <c r="A328" s="1">
        <v>6</v>
      </c>
      <c r="B328" s="101">
        <f t="shared" si="37"/>
        <v>270163063.27772325</v>
      </c>
      <c r="C328" s="101">
        <f t="shared" si="38"/>
        <v>3931960.5280428343</v>
      </c>
      <c r="D328" s="101">
        <f t="shared" si="39"/>
        <v>9082730.400149168</v>
      </c>
      <c r="E328" s="101"/>
      <c r="F328" s="101"/>
      <c r="G328" s="102">
        <f t="shared" si="40"/>
        <v>-9082730.400149168</v>
      </c>
      <c r="H328" s="102">
        <f t="shared" si="35"/>
        <v>1376186.184814992</v>
      </c>
      <c r="I328" s="103">
        <f t="shared" si="36"/>
        <v>-7706544.215334177</v>
      </c>
    </row>
    <row r="329" spans="1:9" ht="12.75" hidden="1">
      <c r="A329" s="1">
        <v>7</v>
      </c>
      <c r="B329" s="101">
        <f t="shared" si="37"/>
        <v>264938731.45054024</v>
      </c>
      <c r="C329" s="101">
        <f t="shared" si="38"/>
        <v>3858398.5729661616</v>
      </c>
      <c r="D329" s="101">
        <f t="shared" si="39"/>
        <v>9082730.400149168</v>
      </c>
      <c r="E329" s="101"/>
      <c r="F329" s="101"/>
      <c r="G329" s="102">
        <f t="shared" si="40"/>
        <v>-9082730.400149168</v>
      </c>
      <c r="H329" s="102">
        <f t="shared" si="35"/>
        <v>1350439.5005381566</v>
      </c>
      <c r="I329" s="103">
        <f t="shared" si="36"/>
        <v>-7732290.899611012</v>
      </c>
    </row>
    <row r="330" spans="1:9" ht="12.75" hidden="1">
      <c r="A330" s="1">
        <v>8</v>
      </c>
      <c r="B330" s="101">
        <f t="shared" si="37"/>
        <v>259639787.07557905</v>
      </c>
      <c r="C330" s="101">
        <f t="shared" si="38"/>
        <v>3783786.0251879967</v>
      </c>
      <c r="D330" s="101">
        <f t="shared" si="39"/>
        <v>9082730.400149168</v>
      </c>
      <c r="E330" s="101"/>
      <c r="F330" s="101"/>
      <c r="G330" s="102">
        <f t="shared" si="40"/>
        <v>-9082730.400149168</v>
      </c>
      <c r="H330" s="102">
        <f t="shared" si="35"/>
        <v>1324325.1088157988</v>
      </c>
      <c r="I330" s="103">
        <f t="shared" si="36"/>
        <v>-7758405.29133337</v>
      </c>
    </row>
    <row r="331" spans="1:9" ht="12.75" hidden="1">
      <c r="A331" s="1">
        <v>9</v>
      </c>
      <c r="B331" s="101">
        <f t="shared" si="37"/>
        <v>254265164.55584663</v>
      </c>
      <c r="C331" s="101">
        <f t="shared" si="38"/>
        <v>3708107.880416741</v>
      </c>
      <c r="D331" s="101">
        <f t="shared" si="39"/>
        <v>9082730.400149168</v>
      </c>
      <c r="E331" s="101"/>
      <c r="F331" s="101"/>
      <c r="G331" s="102">
        <f t="shared" si="40"/>
        <v>-9082730.400149168</v>
      </c>
      <c r="H331" s="102">
        <f t="shared" si="35"/>
        <v>1297837.7581458592</v>
      </c>
      <c r="I331" s="103">
        <f t="shared" si="36"/>
        <v>-7784892.642003309</v>
      </c>
    </row>
    <row r="332" spans="1:9" ht="12.75" hidden="1">
      <c r="A332" s="1">
        <v>10</v>
      </c>
      <c r="B332" s="101">
        <f t="shared" si="37"/>
        <v>248813783.07577088</v>
      </c>
      <c r="C332" s="101">
        <f t="shared" si="38"/>
        <v>3631348.920073411</v>
      </c>
      <c r="D332" s="101">
        <f t="shared" si="39"/>
        <v>9082730.400149168</v>
      </c>
      <c r="E332" s="101"/>
      <c r="F332" s="101"/>
      <c r="G332" s="102">
        <f t="shared" si="40"/>
        <v>-9082730.400149168</v>
      </c>
      <c r="H332" s="102">
        <f t="shared" si="35"/>
        <v>1270972.1220256938</v>
      </c>
      <c r="I332" s="103">
        <f t="shared" si="36"/>
        <v>-7811758.278123475</v>
      </c>
    </row>
    <row r="333" spans="1:9" ht="12.75" hidden="1">
      <c r="A333" s="1">
        <v>11</v>
      </c>
      <c r="B333" s="101">
        <f t="shared" si="37"/>
        <v>243284546.38385296</v>
      </c>
      <c r="C333" s="101">
        <f t="shared" si="38"/>
        <v>3553493.708231235</v>
      </c>
      <c r="D333" s="101">
        <f t="shared" si="39"/>
        <v>9082730.400149168</v>
      </c>
      <c r="E333" s="101"/>
      <c r="F333" s="101"/>
      <c r="G333" s="102">
        <f t="shared" si="40"/>
        <v>-9082730.400149168</v>
      </c>
      <c r="H333" s="102">
        <f t="shared" si="35"/>
        <v>1243722.7978809322</v>
      </c>
      <c r="I333" s="103">
        <f t="shared" si="36"/>
        <v>-7839007.602268236</v>
      </c>
    </row>
    <row r="334" spans="1:12" ht="12.75" hidden="1">
      <c r="A334" s="106">
        <v>12</v>
      </c>
      <c r="B334" s="101">
        <f t="shared" si="37"/>
        <v>237676342.57221535</v>
      </c>
      <c r="C334" s="101">
        <f t="shared" si="38"/>
        <v>3474526.5885115517</v>
      </c>
      <c r="D334" s="101">
        <f t="shared" si="39"/>
        <v>9082730.400149168</v>
      </c>
      <c r="E334" s="107">
        <f>IF(A334&gt;$B$160,"",B322*$B$162)</f>
        <v>0</v>
      </c>
      <c r="F334" s="107"/>
      <c r="G334" s="102">
        <f t="shared" si="40"/>
        <v>-9082730.400149168</v>
      </c>
      <c r="H334" s="102">
        <f t="shared" si="35"/>
        <v>1216084.305979043</v>
      </c>
      <c r="I334" s="103">
        <f t="shared" si="36"/>
        <v>-7866646.094170125</v>
      </c>
      <c r="J334" s="104">
        <f>SUM(I323:I334)</f>
        <v>-92658577.22088815</v>
      </c>
      <c r="K334" s="108"/>
      <c r="L334" s="108"/>
    </row>
    <row r="335" spans="1:9" ht="12.75" hidden="1">
      <c r="A335" s="1">
        <v>13</v>
      </c>
      <c r="B335" s="101">
        <f t="shared" si="37"/>
        <v>231988043.85300156</v>
      </c>
      <c r="C335" s="101">
        <f t="shared" si="38"/>
        <v>3394431.6809353754</v>
      </c>
      <c r="D335" s="101">
        <f t="shared" si="39"/>
        <v>9082730.400149168</v>
      </c>
      <c r="E335" s="101"/>
      <c r="F335" s="101"/>
      <c r="G335" s="102">
        <f t="shared" si="40"/>
        <v>-9082730.400149168</v>
      </c>
      <c r="H335" s="102">
        <f t="shared" si="35"/>
        <v>1188051.0883273813</v>
      </c>
      <c r="I335" s="103">
        <f t="shared" si="36"/>
        <v>-7894679.311821787</v>
      </c>
    </row>
    <row r="336" spans="1:9" ht="12.75" hidden="1">
      <c r="A336" s="1">
        <v>14</v>
      </c>
      <c r="B336" s="101">
        <f t="shared" si="37"/>
        <v>226218506.3315824</v>
      </c>
      <c r="C336" s="101">
        <f t="shared" si="38"/>
        <v>3313192.8787299907</v>
      </c>
      <c r="D336" s="101">
        <f t="shared" si="39"/>
        <v>9082730.400149168</v>
      </c>
      <c r="E336" s="101"/>
      <c r="F336" s="101"/>
      <c r="G336" s="102">
        <f t="shared" si="40"/>
        <v>-9082730.400149168</v>
      </c>
      <c r="H336" s="102">
        <f t="shared" si="35"/>
        <v>1159617.5075554966</v>
      </c>
      <c r="I336" s="103">
        <f t="shared" si="36"/>
        <v>-7923112.892593672</v>
      </c>
    </row>
    <row r="337" spans="1:9" ht="12.75" hidden="1">
      <c r="A337" s="1">
        <v>15</v>
      </c>
      <c r="B337" s="101">
        <f t="shared" si="37"/>
        <v>220366569.77652317</v>
      </c>
      <c r="C337" s="101">
        <f t="shared" si="38"/>
        <v>3230793.845089947</v>
      </c>
      <c r="D337" s="101">
        <f t="shared" si="39"/>
        <v>9082730.400149168</v>
      </c>
      <c r="E337" s="101"/>
      <c r="F337" s="101"/>
      <c r="G337" s="102">
        <f t="shared" si="40"/>
        <v>-9082730.400149168</v>
      </c>
      <c r="H337" s="102">
        <f t="shared" si="35"/>
        <v>1130777.8457814814</v>
      </c>
      <c r="I337" s="103">
        <f t="shared" si="36"/>
        <v>-7951952.554367688</v>
      </c>
    </row>
    <row r="338" spans="1:9" ht="12.75" hidden="1">
      <c r="A338" s="1">
        <v>16</v>
      </c>
      <c r="B338" s="101">
        <f t="shared" si="37"/>
        <v>214431057.38626578</v>
      </c>
      <c r="C338" s="101">
        <f t="shared" si="38"/>
        <v>3147218.009891787</v>
      </c>
      <c r="D338" s="101">
        <f t="shared" si="39"/>
        <v>9082730.400149168</v>
      </c>
      <c r="E338" s="101"/>
      <c r="F338" s="101"/>
      <c r="G338" s="102">
        <f t="shared" si="40"/>
        <v>-9082730.400149168</v>
      </c>
      <c r="H338" s="102">
        <f t="shared" si="35"/>
        <v>1101526.3034621254</v>
      </c>
      <c r="I338" s="103">
        <f t="shared" si="36"/>
        <v>-7981204.096687043</v>
      </c>
    </row>
    <row r="339" spans="1:9" ht="12.75" hidden="1">
      <c r="A339" s="1">
        <v>17</v>
      </c>
      <c r="B339" s="101">
        <f t="shared" si="37"/>
        <v>208410775.5524785</v>
      </c>
      <c r="C339" s="101">
        <f t="shared" si="38"/>
        <v>3062448.5663618636</v>
      </c>
      <c r="D339" s="101">
        <f t="shared" si="39"/>
        <v>9082730.400149168</v>
      </c>
      <c r="E339" s="101"/>
      <c r="F339" s="101"/>
      <c r="G339" s="102">
        <f t="shared" si="40"/>
        <v>-9082730.400149168</v>
      </c>
      <c r="H339" s="102">
        <f t="shared" si="35"/>
        <v>1071856.9982266522</v>
      </c>
      <c r="I339" s="103">
        <f t="shared" si="36"/>
        <v>-8010873.4019225165</v>
      </c>
    </row>
    <row r="340" spans="1:9" ht="12.75" hidden="1">
      <c r="A340" s="1">
        <v>18</v>
      </c>
      <c r="B340" s="101">
        <f t="shared" si="37"/>
        <v>202304513.62002587</v>
      </c>
      <c r="C340" s="101">
        <f t="shared" si="38"/>
        <v>2976468.4676965615</v>
      </c>
      <c r="D340" s="101">
        <f t="shared" si="39"/>
        <v>9082730.400149168</v>
      </c>
      <c r="E340" s="101"/>
      <c r="F340" s="101"/>
      <c r="G340" s="102">
        <f t="shared" si="40"/>
        <v>-9082730.400149168</v>
      </c>
      <c r="H340" s="102">
        <f t="shared" si="35"/>
        <v>1041763.9636937964</v>
      </c>
      <c r="I340" s="103">
        <f t="shared" si="36"/>
        <v>-8040966.436455372</v>
      </c>
    </row>
    <row r="341" spans="1:9" ht="12.75" hidden="1">
      <c r="A341" s="1">
        <v>19</v>
      </c>
      <c r="B341" s="101">
        <f t="shared" si="37"/>
        <v>196111043.64351097</v>
      </c>
      <c r="C341" s="101">
        <f t="shared" si="38"/>
        <v>2889260.4236342497</v>
      </c>
      <c r="D341" s="101">
        <f t="shared" si="39"/>
        <v>9082730.400149168</v>
      </c>
      <c r="E341" s="101"/>
      <c r="F341" s="101"/>
      <c r="G341" s="102">
        <f t="shared" si="40"/>
        <v>-9082730.400149168</v>
      </c>
      <c r="H341" s="102">
        <f t="shared" si="35"/>
        <v>1011241.1482719873</v>
      </c>
      <c r="I341" s="103">
        <f t="shared" si="36"/>
        <v>-8071489.251877181</v>
      </c>
    </row>
    <row r="342" spans="1:9" ht="12.75" hidden="1">
      <c r="A342" s="1">
        <v>20</v>
      </c>
      <c r="B342" s="101">
        <f t="shared" si="37"/>
        <v>189829120.1403401</v>
      </c>
      <c r="C342" s="101">
        <f t="shared" si="38"/>
        <v>2800806.8969782824</v>
      </c>
      <c r="D342" s="101">
        <f t="shared" si="39"/>
        <v>9082730.400149168</v>
      </c>
      <c r="E342" s="101"/>
      <c r="F342" s="101"/>
      <c r="G342" s="102">
        <f t="shared" si="40"/>
        <v>-9082730.400149168</v>
      </c>
      <c r="H342" s="102">
        <f t="shared" si="35"/>
        <v>980282.4139423987</v>
      </c>
      <c r="I342" s="103">
        <f t="shared" si="36"/>
        <v>-8102447.98620677</v>
      </c>
    </row>
    <row r="343" spans="1:9" ht="12.75" hidden="1">
      <c r="A343" s="1">
        <v>21</v>
      </c>
      <c r="B343" s="101">
        <f t="shared" si="37"/>
        <v>183457479.84026125</v>
      </c>
      <c r="C343" s="101">
        <f t="shared" si="38"/>
        <v>2711090.100070332</v>
      </c>
      <c r="D343" s="101">
        <f t="shared" si="39"/>
        <v>9082730.400149168</v>
      </c>
      <c r="E343" s="101"/>
      <c r="F343" s="101"/>
      <c r="G343" s="102">
        <f t="shared" si="40"/>
        <v>-9082730.400149168</v>
      </c>
      <c r="H343" s="102">
        <f t="shared" si="35"/>
        <v>948881.5350246162</v>
      </c>
      <c r="I343" s="103">
        <f t="shared" si="36"/>
        <v>-8133848.8651245525</v>
      </c>
    </row>
    <row r="344" spans="1:9" ht="12.75" hidden="1">
      <c r="A344" s="1">
        <v>22</v>
      </c>
      <c r="B344" s="101">
        <f t="shared" si="37"/>
        <v>176994841.43132544</v>
      </c>
      <c r="C344" s="101">
        <f t="shared" si="38"/>
        <v>2620091.9912133655</v>
      </c>
      <c r="D344" s="101">
        <f t="shared" si="39"/>
        <v>9082730.400149168</v>
      </c>
      <c r="E344" s="101"/>
      <c r="F344" s="101"/>
      <c r="G344" s="102">
        <f t="shared" si="40"/>
        <v>-9082730.400149168</v>
      </c>
      <c r="H344" s="102">
        <f t="shared" si="35"/>
        <v>917032.1969246778</v>
      </c>
      <c r="I344" s="103">
        <f t="shared" si="36"/>
        <v>-8165698.20322449</v>
      </c>
    </row>
    <row r="345" spans="1:9" ht="12.75" hidden="1">
      <c r="A345" s="1">
        <v>23</v>
      </c>
      <c r="B345" s="101">
        <f t="shared" si="37"/>
        <v>170439905.3022198</v>
      </c>
      <c r="C345" s="101">
        <f t="shared" si="38"/>
        <v>2527794.271043525</v>
      </c>
      <c r="D345" s="101">
        <f t="shared" si="39"/>
        <v>9082730.400149168</v>
      </c>
      <c r="E345" s="101"/>
      <c r="F345" s="101"/>
      <c r="G345" s="102">
        <f t="shared" si="40"/>
        <v>-9082730.400149168</v>
      </c>
      <c r="H345" s="102">
        <f t="shared" si="35"/>
        <v>884727.9948652338</v>
      </c>
      <c r="I345" s="103">
        <f t="shared" si="36"/>
        <v>-8198002.405283934</v>
      </c>
    </row>
    <row r="346" spans="1:12" ht="12.75" hidden="1">
      <c r="A346" s="106">
        <v>24</v>
      </c>
      <c r="B346" s="101">
        <f t="shared" si="37"/>
        <v>163791353.28092083</v>
      </c>
      <c r="C346" s="101">
        <f t="shared" si="38"/>
        <v>2434178.378850201</v>
      </c>
      <c r="D346" s="101">
        <f t="shared" si="39"/>
        <v>9082730.400149168</v>
      </c>
      <c r="E346" s="107">
        <f>IF(A346&gt;$B$160,"",B334*$B$162)</f>
        <v>0</v>
      </c>
      <c r="F346" s="107"/>
      <c r="G346" s="102">
        <f t="shared" si="40"/>
        <v>-9082730.400149168</v>
      </c>
      <c r="H346" s="102">
        <f t="shared" si="35"/>
        <v>851962.4325975704</v>
      </c>
      <c r="I346" s="103">
        <f t="shared" si="36"/>
        <v>-8230767.967551598</v>
      </c>
      <c r="J346" s="104">
        <f>SUM(I335:I346)</f>
        <v>-96705043.3731166</v>
      </c>
      <c r="K346" s="108"/>
      <c r="L346" s="108"/>
    </row>
    <row r="347" spans="1:9" ht="12.75" hidden="1">
      <c r="A347" s="1">
        <v>25</v>
      </c>
      <c r="B347" s="101">
        <f t="shared" si="37"/>
        <v>157047848.3696152</v>
      </c>
      <c r="C347" s="101">
        <f t="shared" si="38"/>
        <v>2339225.4888435435</v>
      </c>
      <c r="D347" s="101">
        <f t="shared" si="39"/>
        <v>9082730.400149168</v>
      </c>
      <c r="E347" s="101"/>
      <c r="F347" s="101"/>
      <c r="G347" s="102">
        <f t="shared" si="40"/>
        <v>-9082730.400149168</v>
      </c>
      <c r="H347" s="102">
        <f t="shared" si="35"/>
        <v>818728.9210952402</v>
      </c>
      <c r="I347" s="103">
        <f t="shared" si="36"/>
        <v>-8264001.4790539285</v>
      </c>
    </row>
    <row r="348" spans="1:9" ht="12.75" hidden="1">
      <c r="A348" s="1">
        <v>26</v>
      </c>
      <c r="B348" s="101">
        <f t="shared" si="37"/>
        <v>150208034.4758347</v>
      </c>
      <c r="C348" s="101">
        <f t="shared" si="38"/>
        <v>2242916.5063686715</v>
      </c>
      <c r="D348" s="101">
        <f t="shared" si="39"/>
        <v>9082730.400149168</v>
      </c>
      <c r="E348" s="101"/>
      <c r="F348" s="101"/>
      <c r="G348" s="102">
        <f t="shared" si="40"/>
        <v>-9082730.400149168</v>
      </c>
      <c r="H348" s="102">
        <f t="shared" si="35"/>
        <v>785020.777229035</v>
      </c>
      <c r="I348" s="103">
        <f t="shared" si="36"/>
        <v>-8297709.622920133</v>
      </c>
    </row>
    <row r="349" spans="1:9" ht="12.75" hidden="1">
      <c r="A349" s="1">
        <v>27</v>
      </c>
      <c r="B349" s="101">
        <f t="shared" si="37"/>
        <v>143270536.13975134</v>
      </c>
      <c r="C349" s="101">
        <f t="shared" si="38"/>
        <v>2145232.064065811</v>
      </c>
      <c r="D349" s="101">
        <f t="shared" si="39"/>
        <v>9082730.400149168</v>
      </c>
      <c r="E349" s="101"/>
      <c r="F349" s="101"/>
      <c r="G349" s="102">
        <f t="shared" si="40"/>
        <v>-9082730.400149168</v>
      </c>
      <c r="H349" s="102">
        <f t="shared" si="35"/>
        <v>750831.2224230339</v>
      </c>
      <c r="I349" s="103">
        <f t="shared" si="36"/>
        <v>-8331899.177726135</v>
      </c>
    </row>
    <row r="350" spans="1:9" ht="12.75" hidden="1">
      <c r="A350" s="1">
        <v>28</v>
      </c>
      <c r="B350" s="101">
        <f t="shared" si="37"/>
        <v>136233958.25757778</v>
      </c>
      <c r="C350" s="101">
        <f t="shared" si="38"/>
        <v>2046152.5179755953</v>
      </c>
      <c r="D350" s="101">
        <f t="shared" si="39"/>
        <v>9082730.400149168</v>
      </c>
      <c r="E350" s="101"/>
      <c r="F350" s="101"/>
      <c r="G350" s="102">
        <f t="shared" si="40"/>
        <v>-9082730.400149168</v>
      </c>
      <c r="H350" s="102">
        <f t="shared" si="35"/>
        <v>716153.3812914583</v>
      </c>
      <c r="I350" s="103">
        <f t="shared" si="36"/>
        <v>-8366577.01885771</v>
      </c>
    </row>
    <row r="351" spans="1:9" ht="12.75" hidden="1">
      <c r="A351" s="1">
        <v>29</v>
      </c>
      <c r="B351" s="101">
        <f t="shared" si="37"/>
        <v>129096885.80101734</v>
      </c>
      <c r="C351" s="101">
        <f t="shared" si="38"/>
        <v>1945657.9435887402</v>
      </c>
      <c r="D351" s="101">
        <f t="shared" si="39"/>
        <v>9082730.400149168</v>
      </c>
      <c r="E351" s="101"/>
      <c r="F351" s="101"/>
      <c r="G351" s="102">
        <f t="shared" si="40"/>
        <v>-9082730.400149168</v>
      </c>
      <c r="H351" s="102">
        <f t="shared" si="35"/>
        <v>680980.280256059</v>
      </c>
      <c r="I351" s="103">
        <f t="shared" si="36"/>
        <v>-8401750.11989311</v>
      </c>
    </row>
    <row r="352" spans="1:9" ht="12.75" hidden="1">
      <c r="A352" s="1">
        <v>30</v>
      </c>
      <c r="B352" s="101">
        <f t="shared" si="37"/>
        <v>121857883.53270748</v>
      </c>
      <c r="C352" s="101">
        <f t="shared" si="38"/>
        <v>1843728.1318393059</v>
      </c>
      <c r="D352" s="101">
        <f t="shared" si="39"/>
        <v>9082730.400149168</v>
      </c>
      <c r="E352" s="101"/>
      <c r="F352" s="101"/>
      <c r="G352" s="102">
        <f t="shared" si="40"/>
        <v>-9082730.400149168</v>
      </c>
      <c r="H352" s="102">
        <f t="shared" si="35"/>
        <v>645304.846143757</v>
      </c>
      <c r="I352" s="103">
        <f t="shared" si="36"/>
        <v>-8437425.55400541</v>
      </c>
    </row>
    <row r="353" spans="1:9" ht="12.75" hidden="1">
      <c r="A353" s="1">
        <v>31</v>
      </c>
      <c r="B353" s="101">
        <f t="shared" si="37"/>
        <v>114515495.71759905</v>
      </c>
      <c r="C353" s="101">
        <f t="shared" si="38"/>
        <v>1740342.5850407304</v>
      </c>
      <c r="D353" s="101">
        <f t="shared" si="39"/>
        <v>9082730.400149168</v>
      </c>
      <c r="E353" s="101"/>
      <c r="F353" s="101"/>
      <c r="G353" s="102">
        <f t="shared" si="40"/>
        <v>-9082730.400149168</v>
      </c>
      <c r="H353" s="102">
        <f t="shared" si="35"/>
        <v>609119.9047642556</v>
      </c>
      <c r="I353" s="103">
        <f t="shared" si="36"/>
        <v>-8473610.495384913</v>
      </c>
    </row>
    <row r="354" spans="1:9" ht="12.75" hidden="1">
      <c r="A354" s="1">
        <v>32</v>
      </c>
      <c r="B354" s="101">
        <f t="shared" si="37"/>
        <v>107068245.83021371</v>
      </c>
      <c r="C354" s="101">
        <f t="shared" si="38"/>
        <v>1635480.512763826</v>
      </c>
      <c r="D354" s="101">
        <f t="shared" si="39"/>
        <v>9082730.400149168</v>
      </c>
      <c r="E354" s="101"/>
      <c r="F354" s="101"/>
      <c r="G354" s="102">
        <f t="shared" si="40"/>
        <v>-9082730.400149168</v>
      </c>
      <c r="H354" s="102">
        <f t="shared" si="35"/>
        <v>572418.1794673391</v>
      </c>
      <c r="I354" s="103">
        <f t="shared" si="36"/>
        <v>-8510312.22068183</v>
      </c>
    </row>
    <row r="355" spans="1:9" ht="12.75" hidden="1">
      <c r="A355" s="1">
        <v>33</v>
      </c>
      <c r="B355" s="101">
        <f t="shared" si="37"/>
        <v>99514636.25772046</v>
      </c>
      <c r="C355" s="101">
        <f t="shared" si="38"/>
        <v>1529120.827655905</v>
      </c>
      <c r="D355" s="101">
        <f t="shared" si="39"/>
        <v>9082730.400149168</v>
      </c>
      <c r="E355" s="101"/>
      <c r="F355" s="101"/>
      <c r="G355" s="102">
        <f t="shared" si="40"/>
        <v>-9082730.400149168</v>
      </c>
      <c r="H355" s="102">
        <f t="shared" si="35"/>
        <v>535192.2896795667</v>
      </c>
      <c r="I355" s="103">
        <f t="shared" si="36"/>
        <v>-8547538.110469602</v>
      </c>
    </row>
    <row r="356" spans="1:9" ht="12.75" hidden="1">
      <c r="A356" s="1">
        <v>34</v>
      </c>
      <c r="B356" s="101">
        <f t="shared" si="37"/>
        <v>91853147.99877149</v>
      </c>
      <c r="C356" s="101">
        <f t="shared" si="38"/>
        <v>1421242.1412001953</v>
      </c>
      <c r="D356" s="101">
        <f t="shared" si="39"/>
        <v>9082730.400149168</v>
      </c>
      <c r="E356" s="101"/>
      <c r="F356" s="101"/>
      <c r="G356" s="102">
        <f t="shared" si="40"/>
        <v>-9082730.400149168</v>
      </c>
      <c r="H356" s="102">
        <f t="shared" si="35"/>
        <v>497434.74942006834</v>
      </c>
      <c r="I356" s="103">
        <f t="shared" si="36"/>
        <v>-8585295.6507291</v>
      </c>
    </row>
    <row r="357" spans="1:9" ht="12.75" hidden="1">
      <c r="A357" s="1">
        <v>35</v>
      </c>
      <c r="B357" s="101">
        <f t="shared" si="37"/>
        <v>84082240.35803701</v>
      </c>
      <c r="C357" s="101">
        <f t="shared" si="38"/>
        <v>1311822.7594146943</v>
      </c>
      <c r="D357" s="101">
        <f t="shared" si="39"/>
        <v>9082730.400149168</v>
      </c>
      <c r="E357" s="101"/>
      <c r="F357" s="101"/>
      <c r="G357" s="102">
        <f t="shared" si="40"/>
        <v>-9082730.400149168</v>
      </c>
      <c r="H357" s="102">
        <f t="shared" si="35"/>
        <v>459137.965795143</v>
      </c>
      <c r="I357" s="103">
        <f t="shared" si="36"/>
        <v>-8623592.434354026</v>
      </c>
    </row>
    <row r="358" spans="1:12" ht="12.75" hidden="1">
      <c r="A358" s="106">
        <v>36</v>
      </c>
      <c r="B358" s="101">
        <f t="shared" si="37"/>
        <v>76200350.63637744</v>
      </c>
      <c r="C358" s="101">
        <f t="shared" si="38"/>
        <v>1200840.6784895922</v>
      </c>
      <c r="D358" s="101">
        <f t="shared" si="39"/>
        <v>9082730.400149168</v>
      </c>
      <c r="E358" s="107">
        <f>IF(A358&gt;$B$160,"",B346*$B$162)</f>
        <v>0</v>
      </c>
      <c r="F358" s="107"/>
      <c r="G358" s="102">
        <f t="shared" si="40"/>
        <v>-9082730.400149168</v>
      </c>
      <c r="H358" s="102">
        <f t="shared" si="35"/>
        <v>420294.2374713572</v>
      </c>
      <c r="I358" s="103">
        <f t="shared" si="36"/>
        <v>-8662436.162677811</v>
      </c>
      <c r="J358" s="104">
        <f>SUM(I347:I358)</f>
        <v>-101502148.04675372</v>
      </c>
      <c r="K358" s="108"/>
      <c r="L358" s="108"/>
    </row>
    <row r="359" spans="1:9" ht="12.75" hidden="1">
      <c r="A359" s="1">
        <v>37</v>
      </c>
      <c r="B359" s="101">
        <f t="shared" si="37"/>
        <v>68205893.81659067</v>
      </c>
      <c r="C359" s="101">
        <f t="shared" si="38"/>
        <v>1088273.580362394</v>
      </c>
      <c r="D359" s="101">
        <f t="shared" si="39"/>
        <v>9082730.400149168</v>
      </c>
      <c r="E359" s="101"/>
      <c r="F359" s="101"/>
      <c r="G359" s="102">
        <f t="shared" si="40"/>
        <v>-9082730.400149168</v>
      </c>
      <c r="H359" s="102">
        <f t="shared" si="35"/>
        <v>380895.7531268379</v>
      </c>
      <c r="I359" s="103">
        <f t="shared" si="36"/>
        <v>-8701834.647022331</v>
      </c>
    </row>
    <row r="360" spans="1:9" ht="12.75" hidden="1">
      <c r="A360" s="1">
        <v>38</v>
      </c>
      <c r="B360" s="101">
        <f t="shared" si="37"/>
        <v>60097262.244671345</v>
      </c>
      <c r="C360" s="101">
        <f t="shared" si="38"/>
        <v>974098.8282298424</v>
      </c>
      <c r="D360" s="101">
        <f t="shared" si="39"/>
        <v>9082730.400149168</v>
      </c>
      <c r="E360" s="101"/>
      <c r="F360" s="101"/>
      <c r="G360" s="102">
        <f t="shared" si="40"/>
        <v>-9082730.400149168</v>
      </c>
      <c r="H360" s="102">
        <f t="shared" si="35"/>
        <v>340934.5898804448</v>
      </c>
      <c r="I360" s="103">
        <f t="shared" si="36"/>
        <v>-8741795.810268724</v>
      </c>
    </row>
    <row r="361" spans="1:9" ht="12.75" hidden="1">
      <c r="A361" s="1">
        <v>39</v>
      </c>
      <c r="B361" s="101">
        <f t="shared" si="37"/>
        <v>51872825.30651792</v>
      </c>
      <c r="C361" s="101">
        <f t="shared" si="38"/>
        <v>858293.4619957468</v>
      </c>
      <c r="D361" s="101">
        <f t="shared" si="39"/>
        <v>9082730.400149168</v>
      </c>
      <c r="E361" s="101"/>
      <c r="F361" s="101"/>
      <c r="G361" s="102">
        <f t="shared" si="40"/>
        <v>-9082730.400149168</v>
      </c>
      <c r="H361" s="102">
        <f t="shared" si="35"/>
        <v>300402.7116985114</v>
      </c>
      <c r="I361" s="103">
        <f t="shared" si="36"/>
        <v>-8782327.688450657</v>
      </c>
    </row>
    <row r="362" spans="1:9" ht="12.75" hidden="1">
      <c r="A362" s="1">
        <v>40</v>
      </c>
      <c r="B362" s="101">
        <f t="shared" si="37"/>
        <v>43530929.100022554</v>
      </c>
      <c r="C362" s="101">
        <f t="shared" si="38"/>
        <v>740834.1936537967</v>
      </c>
      <c r="D362" s="101">
        <f t="shared" si="39"/>
        <v>9082730.400149168</v>
      </c>
      <c r="E362" s="101"/>
      <c r="F362" s="101"/>
      <c r="G362" s="102">
        <f t="shared" si="40"/>
        <v>-9082730.400149168</v>
      </c>
      <c r="H362" s="102">
        <f t="shared" si="35"/>
        <v>259291.9677788288</v>
      </c>
      <c r="I362" s="103">
        <f t="shared" si="36"/>
        <v>-8823438.43237034</v>
      </c>
    </row>
    <row r="363" spans="1:9" ht="12.75" hidden="1">
      <c r="A363" s="1">
        <v>41</v>
      </c>
      <c r="B363" s="101">
        <f t="shared" si="37"/>
        <v>35069896.102477826</v>
      </c>
      <c r="C363" s="101">
        <f t="shared" si="38"/>
        <v>621697.4026044351</v>
      </c>
      <c r="D363" s="101">
        <f t="shared" si="39"/>
        <v>9082730.400149168</v>
      </c>
      <c r="E363" s="101"/>
      <c r="F363" s="101"/>
      <c r="G363" s="102">
        <f t="shared" si="40"/>
        <v>-9082730.400149168</v>
      </c>
      <c r="H363" s="102">
        <f t="shared" si="35"/>
        <v>217594.09091155228</v>
      </c>
      <c r="I363" s="103">
        <f t="shared" si="36"/>
        <v>-8865136.309237616</v>
      </c>
    </row>
    <row r="364" spans="1:9" ht="12.75" hidden="1">
      <c r="A364" s="1">
        <v>42</v>
      </c>
      <c r="B364" s="101">
        <f t="shared" si="37"/>
        <v>26488024.833233505</v>
      </c>
      <c r="C364" s="101">
        <f t="shared" si="38"/>
        <v>500859.1309048483</v>
      </c>
      <c r="D364" s="101">
        <f t="shared" si="39"/>
        <v>9082730.400149168</v>
      </c>
      <c r="E364" s="101"/>
      <c r="F364" s="101"/>
      <c r="G364" s="102">
        <f t="shared" si="40"/>
        <v>-9082730.400149168</v>
      </c>
      <c r="H364" s="102">
        <f t="shared" si="35"/>
        <v>175300.69581669688</v>
      </c>
      <c r="I364" s="103">
        <f t="shared" si="36"/>
        <v>-8907429.70433247</v>
      </c>
    </row>
    <row r="365" spans="1:9" ht="12.75" hidden="1">
      <c r="A365" s="1">
        <v>43</v>
      </c>
      <c r="B365" s="101">
        <f t="shared" si="37"/>
        <v>17783589.51153545</v>
      </c>
      <c r="C365" s="101">
        <f t="shared" si="38"/>
        <v>378295.07845111704</v>
      </c>
      <c r="D365" s="101">
        <f t="shared" si="39"/>
        <v>9082730.400149168</v>
      </c>
      <c r="E365" s="101"/>
      <c r="F365" s="101"/>
      <c r="G365" s="102">
        <f t="shared" si="40"/>
        <v>-9082730.400149168</v>
      </c>
      <c r="H365" s="102">
        <f t="shared" si="35"/>
        <v>132403.27745789094</v>
      </c>
      <c r="I365" s="103">
        <f t="shared" si="36"/>
        <v>-8950327.122691277</v>
      </c>
    </row>
    <row r="366" spans="1:9" ht="12.75" hidden="1">
      <c r="A366" s="1">
        <v>44</v>
      </c>
      <c r="B366" s="101">
        <f t="shared" si="37"/>
        <v>8954839.709477844</v>
      </c>
      <c r="C366" s="101">
        <f t="shared" si="38"/>
        <v>253980.59809156097</v>
      </c>
      <c r="D366" s="101">
        <f t="shared" si="39"/>
        <v>9082730.400149168</v>
      </c>
      <c r="E366" s="101"/>
      <c r="F366" s="101"/>
      <c r="G366" s="102">
        <f t="shared" si="40"/>
        <v>-9082730.400149168</v>
      </c>
      <c r="H366" s="102">
        <f t="shared" si="35"/>
        <v>88893.20933204633</v>
      </c>
      <c r="I366" s="103">
        <f t="shared" si="36"/>
        <v>-8993837.190817121</v>
      </c>
    </row>
    <row r="367" spans="1:9" ht="12.75" hidden="1">
      <c r="A367" s="1">
        <v>45</v>
      </c>
      <c r="B367" s="101">
        <f t="shared" si="37"/>
        <v>-1.0319054126739502E-06</v>
      </c>
      <c r="C367" s="101">
        <f t="shared" si="38"/>
        <v>127890.69067029275</v>
      </c>
      <c r="D367" s="101">
        <f t="shared" si="39"/>
        <v>9082730.400149168</v>
      </c>
      <c r="E367" s="101"/>
      <c r="F367" s="101"/>
      <c r="G367" s="102">
        <f t="shared" si="40"/>
        <v>-9082730.400149168</v>
      </c>
      <c r="H367" s="102">
        <f t="shared" si="35"/>
        <v>44761.74173460246</v>
      </c>
      <c r="I367" s="103">
        <f t="shared" si="36"/>
        <v>-9037968.658414567</v>
      </c>
    </row>
    <row r="368" spans="1:9" ht="12.75" hidden="1">
      <c r="A368" s="1">
        <v>46</v>
      </c>
      <c r="B368" s="101">
        <f t="shared" si="37"/>
      </c>
      <c r="C368" s="101">
        <f t="shared" si="38"/>
      </c>
      <c r="D368" s="101">
        <f t="shared" si="39"/>
      </c>
      <c r="E368" s="101"/>
      <c r="F368" s="101"/>
      <c r="G368" s="102">
        <f t="shared" si="40"/>
      </c>
      <c r="H368" s="102">
        <f t="shared" si="35"/>
      </c>
      <c r="I368" s="103">
        <f t="shared" si="36"/>
      </c>
    </row>
    <row r="369" spans="1:9" ht="12.75" hidden="1">
      <c r="A369" s="1">
        <v>47</v>
      </c>
      <c r="B369" s="101">
        <f t="shared" si="37"/>
      </c>
      <c r="C369" s="101">
        <f t="shared" si="38"/>
      </c>
      <c r="D369" s="101">
        <f t="shared" si="39"/>
      </c>
      <c r="E369" s="101"/>
      <c r="F369" s="101"/>
      <c r="G369" s="102">
        <f t="shared" si="40"/>
      </c>
      <c r="H369" s="102">
        <f t="shared" si="35"/>
      </c>
      <c r="I369" s="103">
        <f t="shared" si="36"/>
      </c>
    </row>
    <row r="370" spans="1:12" ht="12.75" hidden="1">
      <c r="A370" s="106">
        <v>48</v>
      </c>
      <c r="B370" s="101">
        <f t="shared" si="37"/>
      </c>
      <c r="C370" s="101">
        <f t="shared" si="38"/>
      </c>
      <c r="D370" s="101">
        <f t="shared" si="39"/>
      </c>
      <c r="E370" s="107">
        <f>IF(A370&gt;$B$160,"",B358*$B$162)</f>
      </c>
      <c r="F370" s="107"/>
      <c r="G370" s="102">
        <f t="shared" si="40"/>
      </c>
      <c r="H370" s="102">
        <f t="shared" si="35"/>
      </c>
      <c r="I370" s="103">
        <f t="shared" si="36"/>
      </c>
      <c r="J370" s="104">
        <f>SUM(I359:I370)</f>
        <v>-79804095.5636051</v>
      </c>
      <c r="K370" s="108"/>
      <c r="L370" s="108"/>
    </row>
    <row r="371" spans="1:9" ht="12.75" hidden="1">
      <c r="A371" s="1">
        <v>49</v>
      </c>
      <c r="B371" s="101">
        <f t="shared" si="37"/>
      </c>
      <c r="C371" s="101">
        <f t="shared" si="38"/>
      </c>
      <c r="D371" s="101">
        <f t="shared" si="39"/>
      </c>
      <c r="E371" s="101"/>
      <c r="F371" s="101"/>
      <c r="G371" s="102">
        <f t="shared" si="40"/>
      </c>
      <c r="H371" s="102">
        <f t="shared" si="35"/>
      </c>
      <c r="I371" s="103">
        <f t="shared" si="36"/>
      </c>
    </row>
    <row r="372" spans="1:9" ht="12.75" hidden="1">
      <c r="A372" s="1">
        <v>50</v>
      </c>
      <c r="B372" s="101">
        <f t="shared" si="37"/>
      </c>
      <c r="C372" s="101">
        <f t="shared" si="38"/>
      </c>
      <c r="D372" s="101">
        <f t="shared" si="39"/>
      </c>
      <c r="E372" s="101"/>
      <c r="F372" s="101"/>
      <c r="G372" s="102">
        <f t="shared" si="40"/>
      </c>
      <c r="H372" s="102">
        <f t="shared" si="35"/>
      </c>
      <c r="I372" s="103">
        <f t="shared" si="36"/>
      </c>
    </row>
    <row r="373" spans="1:9" ht="12.75" hidden="1">
      <c r="A373" s="1">
        <v>51</v>
      </c>
      <c r="B373" s="101">
        <f t="shared" si="37"/>
      </c>
      <c r="C373" s="101">
        <f t="shared" si="38"/>
      </c>
      <c r="D373" s="101">
        <f t="shared" si="39"/>
      </c>
      <c r="E373" s="101"/>
      <c r="F373" s="101"/>
      <c r="G373" s="102">
        <f t="shared" si="40"/>
      </c>
      <c r="H373" s="102">
        <f t="shared" si="35"/>
      </c>
      <c r="I373" s="103">
        <f t="shared" si="36"/>
      </c>
    </row>
    <row r="374" spans="1:9" ht="12.75" hidden="1">
      <c r="A374" s="1">
        <v>52</v>
      </c>
      <c r="B374" s="101">
        <f t="shared" si="37"/>
      </c>
      <c r="C374" s="101">
        <f t="shared" si="38"/>
      </c>
      <c r="D374" s="101">
        <f t="shared" si="39"/>
      </c>
      <c r="E374" s="101"/>
      <c r="F374" s="101"/>
      <c r="G374" s="102">
        <f t="shared" si="40"/>
      </c>
      <c r="H374" s="102">
        <f t="shared" si="35"/>
      </c>
      <c r="I374" s="103">
        <f t="shared" si="36"/>
      </c>
    </row>
    <row r="375" spans="1:9" ht="12.75" hidden="1">
      <c r="A375" s="1">
        <v>53</v>
      </c>
      <c r="B375" s="101">
        <f t="shared" si="37"/>
      </c>
      <c r="C375" s="101">
        <f t="shared" si="38"/>
      </c>
      <c r="D375" s="101">
        <f t="shared" si="39"/>
      </c>
      <c r="E375" s="101"/>
      <c r="F375" s="101"/>
      <c r="G375" s="102">
        <f t="shared" si="40"/>
      </c>
      <c r="H375" s="102">
        <f t="shared" si="35"/>
      </c>
      <c r="I375" s="103">
        <f t="shared" si="36"/>
      </c>
    </row>
    <row r="376" spans="1:9" ht="12.75" hidden="1">
      <c r="A376" s="1">
        <v>54</v>
      </c>
      <c r="B376" s="101">
        <f t="shared" si="37"/>
      </c>
      <c r="C376" s="101">
        <f t="shared" si="38"/>
      </c>
      <c r="D376" s="101">
        <f t="shared" si="39"/>
      </c>
      <c r="E376" s="101"/>
      <c r="F376" s="101"/>
      <c r="G376" s="102">
        <f t="shared" si="40"/>
      </c>
      <c r="H376" s="102">
        <f t="shared" si="35"/>
      </c>
      <c r="I376" s="103">
        <f t="shared" si="36"/>
      </c>
    </row>
    <row r="377" spans="1:9" ht="12.75" hidden="1">
      <c r="A377" s="1">
        <v>55</v>
      </c>
      <c r="B377" s="101">
        <f t="shared" si="37"/>
      </c>
      <c r="C377" s="101">
        <f t="shared" si="38"/>
      </c>
      <c r="D377" s="101">
        <f t="shared" si="39"/>
      </c>
      <c r="E377" s="101"/>
      <c r="F377" s="101"/>
      <c r="G377" s="102">
        <f t="shared" si="40"/>
      </c>
      <c r="H377" s="102">
        <f t="shared" si="35"/>
      </c>
      <c r="I377" s="103">
        <f t="shared" si="36"/>
      </c>
    </row>
    <row r="378" spans="1:9" ht="12.75" hidden="1">
      <c r="A378" s="1">
        <v>56</v>
      </c>
      <c r="B378" s="101">
        <f t="shared" si="37"/>
      </c>
      <c r="C378" s="101">
        <f t="shared" si="38"/>
      </c>
      <c r="D378" s="101">
        <f t="shared" si="39"/>
      </c>
      <c r="E378" s="101"/>
      <c r="F378" s="101"/>
      <c r="G378" s="102">
        <f t="shared" si="40"/>
      </c>
      <c r="H378" s="102">
        <f t="shared" si="35"/>
      </c>
      <c r="I378" s="103">
        <f t="shared" si="36"/>
      </c>
    </row>
    <row r="379" spans="1:9" ht="12.75" hidden="1">
      <c r="A379" s="1">
        <v>57</v>
      </c>
      <c r="B379" s="101">
        <f t="shared" si="37"/>
      </c>
      <c r="C379" s="101">
        <f t="shared" si="38"/>
      </c>
      <c r="D379" s="101">
        <f t="shared" si="39"/>
      </c>
      <c r="E379" s="101"/>
      <c r="F379" s="101"/>
      <c r="G379" s="102">
        <f t="shared" si="40"/>
      </c>
      <c r="H379" s="102">
        <f t="shared" si="35"/>
      </c>
      <c r="I379" s="103">
        <f t="shared" si="36"/>
      </c>
    </row>
    <row r="380" spans="1:9" ht="12.75" hidden="1">
      <c r="A380" s="1">
        <v>58</v>
      </c>
      <c r="B380" s="101">
        <f t="shared" si="37"/>
      </c>
      <c r="C380" s="101">
        <f t="shared" si="38"/>
      </c>
      <c r="D380" s="101">
        <f t="shared" si="39"/>
      </c>
      <c r="E380" s="101"/>
      <c r="F380" s="101"/>
      <c r="G380" s="102">
        <f t="shared" si="40"/>
      </c>
      <c r="H380" s="102">
        <f t="shared" si="35"/>
      </c>
      <c r="I380" s="103">
        <f t="shared" si="36"/>
      </c>
    </row>
    <row r="381" spans="1:9" ht="12.75" hidden="1">
      <c r="A381" s="1">
        <v>59</v>
      </c>
      <c r="B381" s="101">
        <f t="shared" si="37"/>
      </c>
      <c r="C381" s="101">
        <f t="shared" si="38"/>
      </c>
      <c r="D381" s="101">
        <f t="shared" si="39"/>
      </c>
      <c r="E381" s="101"/>
      <c r="F381" s="101"/>
      <c r="G381" s="102">
        <f t="shared" si="40"/>
      </c>
      <c r="H381" s="102">
        <f t="shared" si="35"/>
      </c>
      <c r="I381" s="103">
        <f t="shared" si="36"/>
      </c>
    </row>
    <row r="382" spans="1:12" ht="12.75" hidden="1">
      <c r="A382" s="106">
        <v>60</v>
      </c>
      <c r="B382" s="101">
        <f t="shared" si="37"/>
      </c>
      <c r="C382" s="101">
        <f t="shared" si="38"/>
      </c>
      <c r="D382" s="101">
        <f t="shared" si="39"/>
      </c>
      <c r="E382" s="107">
        <f>IF(A382&gt;$B$160,"",B370*$B$162)</f>
      </c>
      <c r="F382" s="107"/>
      <c r="G382" s="102">
        <f t="shared" si="40"/>
      </c>
      <c r="H382" s="102">
        <f t="shared" si="35"/>
      </c>
      <c r="I382" s="103">
        <f t="shared" si="36"/>
      </c>
      <c r="J382" s="104">
        <f>SUM(I371:I382)</f>
        <v>0</v>
      </c>
      <c r="K382" s="108"/>
      <c r="L382" s="108"/>
    </row>
    <row r="383" spans="2:8" ht="12.75" hidden="1">
      <c r="B383" s="101"/>
      <c r="C383" s="101"/>
      <c r="D383" s="101"/>
      <c r="E383" s="101"/>
      <c r="F383" s="101"/>
      <c r="G383" s="102"/>
      <c r="H383" s="102"/>
    </row>
    <row r="384" spans="2:10" ht="12.75" hidden="1">
      <c r="B384" s="101"/>
      <c r="C384" s="101"/>
      <c r="D384" s="101"/>
      <c r="E384" s="101"/>
      <c r="F384" s="101"/>
      <c r="G384" s="102"/>
      <c r="I384" s="107" t="s">
        <v>55</v>
      </c>
      <c r="J384" s="109">
        <f>IRR(I322:I382,$B$158)</f>
        <v>0.009283130869188817</v>
      </c>
    </row>
    <row r="385" ht="12.75" hidden="1"/>
    <row r="386" spans="1:8" s="23" customFormat="1" ht="12.75" hidden="1">
      <c r="A386" s="110"/>
      <c r="G386" s="70"/>
      <c r="H386" s="70"/>
    </row>
    <row r="387" spans="1:8" s="23" customFormat="1" ht="12.75" hidden="1">
      <c r="A387" s="70"/>
      <c r="B387" s="111"/>
      <c r="G387" s="70"/>
      <c r="H387" s="70"/>
    </row>
    <row r="388" spans="1:8" s="23" customFormat="1" ht="12.75" hidden="1">
      <c r="A388" s="70"/>
      <c r="B388" s="111"/>
      <c r="G388" s="70"/>
      <c r="H388" s="70"/>
    </row>
    <row r="389" spans="1:8" s="23" customFormat="1" ht="12.75" hidden="1">
      <c r="A389" s="70"/>
      <c r="B389" s="111"/>
      <c r="C389" s="112"/>
      <c r="D389" s="111"/>
      <c r="G389" s="70"/>
      <c r="H389" s="70"/>
    </row>
    <row r="390" spans="3:18" ht="12.75" hidden="1">
      <c r="C390" t="s">
        <v>22</v>
      </c>
      <c r="M390" t="s">
        <v>3</v>
      </c>
      <c r="N390" t="s">
        <v>4</v>
      </c>
      <c r="O390" t="s">
        <v>5</v>
      </c>
      <c r="P390" t="s">
        <v>6</v>
      </c>
      <c r="Q390" t="s">
        <v>7</v>
      </c>
      <c r="R390" t="s">
        <v>8</v>
      </c>
    </row>
    <row r="391" spans="1:18" ht="12.75" hidden="1">
      <c r="A391" t="s">
        <v>10</v>
      </c>
      <c r="B391" s="78">
        <f>J594</f>
        <v>0</v>
      </c>
      <c r="C391" s="9">
        <f>(1+B391)^12-1</f>
        <v>0</v>
      </c>
      <c r="G391" s="1" t="s">
        <v>74</v>
      </c>
      <c r="J391" t="s">
        <v>10</v>
      </c>
      <c r="K391" t="s">
        <v>11</v>
      </c>
      <c r="L391" t="s">
        <v>12</v>
      </c>
      <c r="M391" s="8">
        <f>N391*12</f>
        <v>0.04888948540378024</v>
      </c>
      <c r="N391" s="9">
        <f>(1+R391)^(1/12)-1</f>
        <v>0.0040741237836483535</v>
      </c>
      <c r="O391" s="9">
        <f>(1+R391)^(1/6)-1</f>
        <v>0.008164846051901042</v>
      </c>
      <c r="P391" s="9">
        <f>(1+R391)^(1/4)-1</f>
        <v>0.012272234429039353</v>
      </c>
      <c r="Q391" s="9">
        <f>(1+R391)^(1/2)-1</f>
        <v>0.02469507659595993</v>
      </c>
      <c r="R391" s="10">
        <f>B431</f>
        <v>0.05</v>
      </c>
    </row>
    <row r="392" spans="1:18" ht="12.75" hidden="1">
      <c r="A392" t="s">
        <v>15</v>
      </c>
      <c r="B392" s="78">
        <f>B391</f>
        <v>0</v>
      </c>
      <c r="C392" s="9">
        <f>(1+B392)^6-1</f>
        <v>0</v>
      </c>
      <c r="G392" s="1" t="s">
        <v>75</v>
      </c>
      <c r="H392" s="1" t="s">
        <v>14</v>
      </c>
      <c r="J392" t="s">
        <v>15</v>
      </c>
      <c r="K392" t="s">
        <v>16</v>
      </c>
      <c r="L392" t="s">
        <v>17</v>
      </c>
      <c r="M392" s="11">
        <f>O392*6</f>
        <v>0.048989076311406254</v>
      </c>
      <c r="N392" s="9">
        <f aca="true" t="shared" si="41" ref="N392:N400">(1+R392)^(1/12)-1</f>
        <v>0.0040741237836483535</v>
      </c>
      <c r="O392" s="9">
        <f aca="true" t="shared" si="42" ref="O392:O400">(1+R392)^(1/6)-1</f>
        <v>0.008164846051901042</v>
      </c>
      <c r="P392" s="9">
        <f aca="true" t="shared" si="43" ref="P392:P400">(1+R392)^(1/4)-1</f>
        <v>0.012272234429039353</v>
      </c>
      <c r="Q392" s="9">
        <f aca="true" t="shared" si="44" ref="Q392:Q400">(1+R392)^(1/2)-1</f>
        <v>0.02469507659595993</v>
      </c>
      <c r="R392" s="9">
        <f>R391</f>
        <v>0.05</v>
      </c>
    </row>
    <row r="393" spans="1:18" ht="12.75" hidden="1">
      <c r="A393" t="s">
        <v>18</v>
      </c>
      <c r="B393" s="78">
        <f>B392</f>
        <v>0</v>
      </c>
      <c r="C393" s="9">
        <f>(1+B393)^4-1</f>
        <v>0</v>
      </c>
      <c r="H393" s="1" t="s">
        <v>14</v>
      </c>
      <c r="J393" t="s">
        <v>18</v>
      </c>
      <c r="L393" t="s">
        <v>19</v>
      </c>
      <c r="M393" s="11">
        <f>P393*4</f>
        <v>0.04908893771615741</v>
      </c>
      <c r="N393" s="9">
        <f t="shared" si="41"/>
        <v>0.0040741237836483535</v>
      </c>
      <c r="O393" s="9">
        <f t="shared" si="42"/>
        <v>0.008164846051901042</v>
      </c>
      <c r="P393" s="9">
        <f t="shared" si="43"/>
        <v>0.012272234429039353</v>
      </c>
      <c r="Q393" s="9">
        <f t="shared" si="44"/>
        <v>0.02469507659595993</v>
      </c>
      <c r="R393" s="9">
        <f aca="true" t="shared" si="45" ref="R393:R400">R392</f>
        <v>0.05</v>
      </c>
    </row>
    <row r="394" spans="1:18" ht="12.75" hidden="1">
      <c r="A394" t="s">
        <v>20</v>
      </c>
      <c r="B394" s="78">
        <f>B393</f>
        <v>0</v>
      </c>
      <c r="C394" s="9">
        <f>(1+B394)^2-1</f>
        <v>0</v>
      </c>
      <c r="J394" t="s">
        <v>20</v>
      </c>
      <c r="L394" t="s">
        <v>21</v>
      </c>
      <c r="M394" s="11">
        <f>Q394*2</f>
        <v>0.04939015319191986</v>
      </c>
      <c r="N394" s="9">
        <f t="shared" si="41"/>
        <v>0.0040741237836483535</v>
      </c>
      <c r="O394" s="9">
        <f t="shared" si="42"/>
        <v>0.008164846051901042</v>
      </c>
      <c r="P394" s="9">
        <f t="shared" si="43"/>
        <v>0.012272234429039353</v>
      </c>
      <c r="Q394" s="9">
        <f t="shared" si="44"/>
        <v>0.02469507659595993</v>
      </c>
      <c r="R394" s="9">
        <f t="shared" si="45"/>
        <v>0.05</v>
      </c>
    </row>
    <row r="395" spans="1:18" ht="12.75" hidden="1">
      <c r="A395" t="s">
        <v>22</v>
      </c>
      <c r="B395" s="78">
        <f>B394</f>
        <v>0</v>
      </c>
      <c r="C395" s="9">
        <f>(1+B395)^1-1</f>
        <v>0</v>
      </c>
      <c r="J395" t="s">
        <v>22</v>
      </c>
      <c r="L395" t="s">
        <v>8</v>
      </c>
      <c r="M395" s="11">
        <f>R395</f>
        <v>0.05</v>
      </c>
      <c r="N395" s="9">
        <f t="shared" si="41"/>
        <v>0.0040741237836483535</v>
      </c>
      <c r="O395" s="9">
        <f t="shared" si="42"/>
        <v>0.008164846051901042</v>
      </c>
      <c r="P395" s="9">
        <f t="shared" si="43"/>
        <v>0.012272234429039353</v>
      </c>
      <c r="Q395" s="9">
        <f t="shared" si="44"/>
        <v>0.02469507659595993</v>
      </c>
      <c r="R395" s="9">
        <f t="shared" si="45"/>
        <v>0.05</v>
      </c>
    </row>
    <row r="396" spans="12:18" ht="12.75" hidden="1">
      <c r="L396" t="s">
        <v>23</v>
      </c>
      <c r="M396" s="8">
        <f>(((1+R396)^(1/12)-1)/(1+((1+R396)^(1/12)-1)))</f>
        <v>0.004057592648932979</v>
      </c>
      <c r="N396" s="9">
        <f t="shared" si="41"/>
        <v>0.0040741237836483535</v>
      </c>
      <c r="O396" s="9">
        <f t="shared" si="42"/>
        <v>0.008164846051901042</v>
      </c>
      <c r="P396" s="9">
        <f t="shared" si="43"/>
        <v>0.012272234429039353</v>
      </c>
      <c r="Q396" s="9">
        <f t="shared" si="44"/>
        <v>0.02469507659595993</v>
      </c>
      <c r="R396" s="9">
        <f t="shared" si="45"/>
        <v>0.05</v>
      </c>
    </row>
    <row r="397" spans="1:18" ht="12.75" hidden="1">
      <c r="A397" s="7"/>
      <c r="B397" s="7"/>
      <c r="C397" s="7"/>
      <c r="D397" s="7"/>
      <c r="E397" s="7"/>
      <c r="F397" s="7"/>
      <c r="G397" s="12"/>
      <c r="H397" s="12"/>
      <c r="L397" t="s">
        <v>24</v>
      </c>
      <c r="M397" s="8">
        <f>(((1+R397)^(1/6)-1)/(1+((1+R397)^(1/6)-1)))</f>
        <v>0.00809872123976113</v>
      </c>
      <c r="N397" s="9">
        <f t="shared" si="41"/>
        <v>0.0040741237836483535</v>
      </c>
      <c r="O397" s="9">
        <f t="shared" si="42"/>
        <v>0.008164846051901042</v>
      </c>
      <c r="P397" s="9">
        <f t="shared" si="43"/>
        <v>0.012272234429039353</v>
      </c>
      <c r="Q397" s="9">
        <f t="shared" si="44"/>
        <v>0.02469507659595993</v>
      </c>
      <c r="R397" s="9">
        <f t="shared" si="45"/>
        <v>0.05</v>
      </c>
    </row>
    <row r="398" spans="2:18" ht="12.75" hidden="1">
      <c r="B398" s="13"/>
      <c r="C398" s="14"/>
      <c r="D398" s="15"/>
      <c r="E398" s="7"/>
      <c r="F398" s="7"/>
      <c r="G398" s="16"/>
      <c r="H398" s="17"/>
      <c r="L398" t="s">
        <v>25</v>
      </c>
      <c r="M398" s="8">
        <f>(((1+R398)^(1/4)-1)/(1+((1+R398)^(1/4)-1)))</f>
        <v>0.012123452576925976</v>
      </c>
      <c r="N398" s="9">
        <f t="shared" si="41"/>
        <v>0.0040741237836483535</v>
      </c>
      <c r="O398" s="9">
        <f t="shared" si="42"/>
        <v>0.008164846051901042</v>
      </c>
      <c r="P398" s="9">
        <f t="shared" si="43"/>
        <v>0.012272234429039353</v>
      </c>
      <c r="Q398" s="9">
        <f t="shared" si="44"/>
        <v>0.02469507659595993</v>
      </c>
      <c r="R398" s="9">
        <f t="shared" si="45"/>
        <v>0.05</v>
      </c>
    </row>
    <row r="399" spans="2:18" ht="12.75" hidden="1">
      <c r="B399" s="13"/>
      <c r="C399" s="14"/>
      <c r="D399" s="15"/>
      <c r="E399" s="7"/>
      <c r="F399" s="7"/>
      <c r="G399" s="16"/>
      <c r="H399" s="17"/>
      <c r="L399" t="s">
        <v>26</v>
      </c>
      <c r="M399" s="8">
        <f>(((1+R399)^(1/2)-1)/(1+((1+R399)^(1/2)-1)))</f>
        <v>0.024099927051466907</v>
      </c>
      <c r="N399" s="9">
        <f t="shared" si="41"/>
        <v>0.0040741237836483535</v>
      </c>
      <c r="O399" s="9">
        <f t="shared" si="42"/>
        <v>0.008164846051901042</v>
      </c>
      <c r="P399" s="9">
        <f t="shared" si="43"/>
        <v>0.012272234429039353</v>
      </c>
      <c r="Q399" s="9">
        <f t="shared" si="44"/>
        <v>0.02469507659595993</v>
      </c>
      <c r="R399" s="9">
        <f t="shared" si="45"/>
        <v>0.05</v>
      </c>
    </row>
    <row r="400" spans="2:18" ht="12.75" hidden="1">
      <c r="B400" s="13"/>
      <c r="C400" s="14"/>
      <c r="D400" s="15"/>
      <c r="E400" s="7"/>
      <c r="F400" s="7"/>
      <c r="G400" s="16"/>
      <c r="H400" s="17"/>
      <c r="L400" t="s">
        <v>27</v>
      </c>
      <c r="M400" s="8">
        <f>(((1+R400)^(1/1)-1)/(1+((1+R400)^(1/1)-1)))</f>
        <v>0.04761904761904766</v>
      </c>
      <c r="N400" s="9">
        <f t="shared" si="41"/>
        <v>0.0040741237836483535</v>
      </c>
      <c r="O400" s="9">
        <f t="shared" si="42"/>
        <v>0.008164846051901042</v>
      </c>
      <c r="P400" s="9">
        <f t="shared" si="43"/>
        <v>0.012272234429039353</v>
      </c>
      <c r="Q400" s="9">
        <f t="shared" si="44"/>
        <v>0.02469507659595993</v>
      </c>
      <c r="R400" s="9">
        <f t="shared" si="45"/>
        <v>0.05</v>
      </c>
    </row>
    <row r="401" spans="2:8" ht="12.75" hidden="1">
      <c r="B401" s="13"/>
      <c r="C401" s="14"/>
      <c r="D401" s="15"/>
      <c r="E401" s="7"/>
      <c r="F401" s="7"/>
      <c r="G401" s="16"/>
      <c r="H401" s="17"/>
    </row>
    <row r="402" spans="2:8" ht="12.75" hidden="1">
      <c r="B402" s="13"/>
      <c r="C402" s="14"/>
      <c r="D402" s="15"/>
      <c r="E402" s="7"/>
      <c r="F402" s="7"/>
      <c r="G402" s="16"/>
      <c r="H402" s="17"/>
    </row>
    <row r="403" spans="13:18" ht="12.75" hidden="1">
      <c r="M403" t="s">
        <v>3</v>
      </c>
      <c r="N403" t="s">
        <v>4</v>
      </c>
      <c r="O403" t="s">
        <v>5</v>
      </c>
      <c r="P403" t="s">
        <v>6</v>
      </c>
      <c r="Q403" t="s">
        <v>7</v>
      </c>
      <c r="R403" t="s">
        <v>8</v>
      </c>
    </row>
    <row r="404" spans="12:18" ht="12.75" hidden="1">
      <c r="L404" t="s">
        <v>12</v>
      </c>
      <c r="M404" s="18">
        <f>C433</f>
        <v>0.09908893771615741</v>
      </c>
      <c r="N404" s="9">
        <f>M404/12</f>
        <v>0.008257411476346451</v>
      </c>
      <c r="O404" s="9">
        <f>(1+R404)^(1/6)-1</f>
        <v>0.01658300779698263</v>
      </c>
      <c r="P404" s="9">
        <f>(1+R404)^(1/4)-1</f>
        <v>0.024977351992224284</v>
      </c>
      <c r="Q404" s="9">
        <f>(1+R404)^(1/2)-1</f>
        <v>0.05057857209699179</v>
      </c>
      <c r="R404" s="9">
        <f>(1+N404)^12-1</f>
        <v>0.10371533614935435</v>
      </c>
    </row>
    <row r="405" spans="12:18" ht="12.75" hidden="1">
      <c r="L405" t="s">
        <v>17</v>
      </c>
      <c r="M405" s="11">
        <f>M404</f>
        <v>0.09908893771615741</v>
      </c>
      <c r="N405" s="9">
        <f>(1+R405)^(1/12)-1</f>
        <v>0.008223597696807028</v>
      </c>
      <c r="O405" s="9">
        <f>M405/6</f>
        <v>0.016514822952692902</v>
      </c>
      <c r="P405" s="9">
        <f>(1+R405)^(1/4)-1</f>
        <v>0.02487423190949678</v>
      </c>
      <c r="Q405" s="9">
        <f>(1+R405)^(1/2)-1</f>
        <v>0.05036719123208089</v>
      </c>
      <c r="R405" s="9">
        <f>(1+O405)^6-1</f>
        <v>0.10327123641677072</v>
      </c>
    </row>
    <row r="406" spans="12:18" ht="12.75" hidden="1">
      <c r="L406" t="s">
        <v>19</v>
      </c>
      <c r="M406" s="11">
        <f aca="true" t="shared" si="46" ref="M406:M413">M405</f>
        <v>0.09908893771615741</v>
      </c>
      <c r="N406" s="9">
        <f>(1+R406)^(1/12)-1</f>
        <v>0.008190149794883084</v>
      </c>
      <c r="O406" s="9">
        <f>(1+R406)^(1/6)-1</f>
        <v>0.01644737814342867</v>
      </c>
      <c r="P406" s="9">
        <f>M406/4</f>
        <v>0.024772234429039353</v>
      </c>
      <c r="Q406" s="9">
        <f>(1+R406)^(1/2)-1</f>
        <v>0.05015813245668599</v>
      </c>
      <c r="R406" s="9">
        <f>(1+P406)^4-1</f>
        <v>0.10283210316491442</v>
      </c>
    </row>
    <row r="407" spans="12:18" ht="12.75" hidden="1">
      <c r="L407" t="s">
        <v>21</v>
      </c>
      <c r="M407" s="11">
        <f t="shared" si="46"/>
        <v>0.09908893771615741</v>
      </c>
      <c r="N407" s="9">
        <f>(1+R407)^(1/12)-1</f>
        <v>0.00809193596894775</v>
      </c>
      <c r="O407" s="9">
        <f>(1+R407)^(1/6)-1</f>
        <v>0.016249351365621</v>
      </c>
      <c r="P407" s="9">
        <f>(1+R407)^(1/4)-1</f>
        <v>0.024472776045356248</v>
      </c>
      <c r="Q407" s="9">
        <f>M407/2</f>
        <v>0.04954446885807871</v>
      </c>
      <c r="R407" s="9">
        <f>(1+Q407)^2-1</f>
        <v>0.10154359211058628</v>
      </c>
    </row>
    <row r="408" spans="12:18" ht="12.75" hidden="1">
      <c r="L408" t="s">
        <v>8</v>
      </c>
      <c r="M408" s="11">
        <f t="shared" si="46"/>
        <v>0.09908893771615741</v>
      </c>
      <c r="N408" s="9">
        <f>(1+R408)^(1/12)-1</f>
        <v>0.007904543761286353</v>
      </c>
      <c r="O408" s="9">
        <f>(1+R408)^(1/6)-1</f>
        <v>0.01587156933464673</v>
      </c>
      <c r="P408" s="9">
        <f>(1+R408)^(1/4)-1</f>
        <v>0.02390157061029896</v>
      </c>
      <c r="Q408" s="9">
        <f>(1+R408)^(1/2)-1</f>
        <v>0.04837442629823685</v>
      </c>
      <c r="R408" s="9">
        <f>M408</f>
        <v>0.09908893771615741</v>
      </c>
    </row>
    <row r="409" spans="12:18" ht="12.75" hidden="1">
      <c r="L409" t="s">
        <v>23</v>
      </c>
      <c r="M409" s="11">
        <f t="shared" si="46"/>
        <v>0.09908893771615741</v>
      </c>
      <c r="N409" s="9">
        <f>((M409/12)/(1-(M409/12)))</f>
        <v>0.008326164038834667</v>
      </c>
      <c r="O409" s="9">
        <f>(1+R409)^(1/6)-1</f>
        <v>0.016721653085270738</v>
      </c>
      <c r="P409" s="9">
        <f>(1+R409)^(1/4)-1</f>
        <v>0.025187044350693633</v>
      </c>
      <c r="Q409" s="9">
        <f>(1+R409)^(1/2)-1</f>
        <v>0.0510084759045113</v>
      </c>
      <c r="R409" s="9">
        <f>(1+N409)^12-1</f>
        <v>0.10461881642312365</v>
      </c>
    </row>
    <row r="410" spans="12:18" ht="12.75" hidden="1">
      <c r="L410" t="s">
        <v>24</v>
      </c>
      <c r="M410" s="11">
        <f t="shared" si="46"/>
        <v>0.09908893771615741</v>
      </c>
      <c r="N410" s="9">
        <f>(1+R410)^(1/12)-1</f>
        <v>0.008361116965672544</v>
      </c>
      <c r="O410" s="9">
        <f>((M410/6)/(1-(M410/6)))</f>
        <v>0.016792142208258736</v>
      </c>
      <c r="P410" s="9">
        <f>(1+R410)^(1/4)-1</f>
        <v>0.025293660239038562</v>
      </c>
      <c r="Q410" s="9">
        <f>(1+R410)^(1/2)-1</f>
        <v>0.05122708972636514</v>
      </c>
      <c r="R410" s="9">
        <f>(1+O410)^6-1</f>
        <v>0.10507839417456322</v>
      </c>
    </row>
    <row r="411" spans="2:18" ht="12.75" hidden="1">
      <c r="B411" s="78"/>
      <c r="L411" t="s">
        <v>25</v>
      </c>
      <c r="M411" s="11">
        <f t="shared" si="46"/>
        <v>0.09908893771615741</v>
      </c>
      <c r="N411" s="9">
        <f>(1+R411)^(1/12)-1</f>
        <v>0.00839646407081518</v>
      </c>
      <c r="O411" s="9">
        <f>(1+R411)^(1/6)-1</f>
        <v>0.016863428750522713</v>
      </c>
      <c r="P411" s="9">
        <f>((M411/4)/(1-(M411/4)))</f>
        <v>0.02540148599495227</v>
      </c>
      <c r="Q411" s="9">
        <f>(1+R411)^(1/2)-1</f>
        <v>0.05144820748065637</v>
      </c>
      <c r="R411" s="9">
        <f>(1+P411)^4-1</f>
        <v>0.10554333301428542</v>
      </c>
    </row>
    <row r="412" spans="2:18" ht="12.75" hidden="1">
      <c r="B412" s="78"/>
      <c r="L412" t="s">
        <v>26</v>
      </c>
      <c r="M412" s="11">
        <f t="shared" si="46"/>
        <v>0.09908893771615741</v>
      </c>
      <c r="N412" s="9">
        <f>(1+R412)^(1/12)-1</f>
        <v>0.008504947104013505</v>
      </c>
      <c r="O412" s="9">
        <f>(1+R412)^(1/6)-1</f>
        <v>0.017082228333269</v>
      </c>
      <c r="P412" s="9">
        <f>(1+R412)^(1/4)-1</f>
        <v>0.025732458885675547</v>
      </c>
      <c r="Q412" s="9">
        <f>((M412/2)/(1-(M412/2)))</f>
        <v>0.052127077211654174</v>
      </c>
      <c r="R412" s="9">
        <f>(1+Q412)^2-1</f>
        <v>0.10697138660193817</v>
      </c>
    </row>
    <row r="413" spans="2:18" ht="12.75" hidden="1">
      <c r="B413" s="78"/>
      <c r="L413" t="s">
        <v>27</v>
      </c>
      <c r="M413" s="11">
        <f t="shared" si="46"/>
        <v>0.09908893771615741</v>
      </c>
      <c r="N413" s="9">
        <f>(1+R413)^(1/12)-1</f>
        <v>0.008733645691533898</v>
      </c>
      <c r="O413" s="9">
        <f>(1+R413)^(1/6)-1</f>
        <v>0.017543567950132788</v>
      </c>
      <c r="P413" s="9">
        <f>(1+R413)^(1/4)-1</f>
        <v>0.02643043294830849</v>
      </c>
      <c r="Q413" s="9">
        <f>(1+R413)^(1/2)-1</f>
        <v>0.053559433682452084</v>
      </c>
      <c r="R413" s="9">
        <f>(M413/(1-M413))</f>
        <v>0.10998748030128892</v>
      </c>
    </row>
    <row r="414" spans="2:18" ht="12.75" hidden="1">
      <c r="B414" s="78"/>
      <c r="M414" s="11"/>
      <c r="N414" s="9"/>
      <c r="O414" s="9"/>
      <c r="P414" s="9"/>
      <c r="Q414" s="9"/>
      <c r="R414" s="9"/>
    </row>
    <row r="415" spans="13:18" ht="12.75" hidden="1">
      <c r="M415" s="11"/>
      <c r="N415" s="9"/>
      <c r="O415" s="9"/>
      <c r="P415" s="9"/>
      <c r="Q415" s="9"/>
      <c r="R415" s="9"/>
    </row>
    <row r="416" spans="13:18" ht="12.75" hidden="1">
      <c r="M416" s="11"/>
      <c r="N416" s="9"/>
      <c r="O416" s="9"/>
      <c r="P416" s="9"/>
      <c r="Q416" s="9"/>
      <c r="R416" s="9"/>
    </row>
    <row r="417" spans="12:18" ht="12.75" hidden="1">
      <c r="L417" t="str">
        <f>J391</f>
        <v>MENSUAL</v>
      </c>
      <c r="M417" s="11">
        <f>(1+$C$434)^(1/12)-1</f>
        <v>0.008190149794883084</v>
      </c>
      <c r="N417" s="9"/>
      <c r="O417" s="9"/>
      <c r="P417" s="9"/>
      <c r="Q417" s="9"/>
      <c r="R417" s="9"/>
    </row>
    <row r="418" spans="12:18" ht="12.75" hidden="1">
      <c r="L418" t="str">
        <f>J392</f>
        <v>BIMENSUAL</v>
      </c>
      <c r="M418" s="11">
        <f>(1+$C$434)^(1/6)-1</f>
        <v>0.01644737814342867</v>
      </c>
      <c r="N418" s="9"/>
      <c r="O418" s="9"/>
      <c r="P418" s="9"/>
      <c r="Q418" s="9"/>
      <c r="R418" s="9"/>
    </row>
    <row r="419" spans="12:18" ht="12.75" hidden="1">
      <c r="L419" t="str">
        <f>J393</f>
        <v>TRIMESTRAL</v>
      </c>
      <c r="M419" s="11">
        <f>(1+$C$434)^(1/4)-1</f>
        <v>0.024772234429039308</v>
      </c>
      <c r="N419" s="9"/>
      <c r="O419" s="9"/>
      <c r="P419" s="9"/>
      <c r="Q419" s="9"/>
      <c r="R419" s="9"/>
    </row>
    <row r="420" spans="2:18" ht="12.75" hidden="1">
      <c r="B420" s="8"/>
      <c r="C420" s="9"/>
      <c r="D420" s="9"/>
      <c r="E420" s="9"/>
      <c r="F420" s="9"/>
      <c r="G420" s="20"/>
      <c r="H420" s="21"/>
      <c r="L420" t="str">
        <f>J394</f>
        <v>SEMESTRAL</v>
      </c>
      <c r="M420" s="11">
        <f>(1+$C$434)^(1/2)-1</f>
        <v>0.05015813245668599</v>
      </c>
      <c r="N420" s="9"/>
      <c r="O420" s="9"/>
      <c r="P420" s="9"/>
      <c r="Q420" s="9"/>
      <c r="R420" s="9"/>
    </row>
    <row r="421" spans="2:18" ht="14.25" customHeight="1" hidden="1">
      <c r="B421" s="11"/>
      <c r="C421" s="9"/>
      <c r="D421" s="9"/>
      <c r="E421" s="9"/>
      <c r="F421" s="9"/>
      <c r="G421" s="20"/>
      <c r="H421" s="20"/>
      <c r="L421" t="str">
        <f>J395</f>
        <v>ANNUAL</v>
      </c>
      <c r="M421" s="11">
        <f>(1+$C$434)^(1/1)-1</f>
        <v>0.10283210316491442</v>
      </c>
      <c r="N421" s="9"/>
      <c r="O421" s="9"/>
      <c r="P421" s="9"/>
      <c r="Q421" s="9"/>
      <c r="R421" s="9"/>
    </row>
    <row r="422" spans="2:18" ht="12.75" hidden="1">
      <c r="B422" s="11"/>
      <c r="C422" s="9"/>
      <c r="D422" s="9"/>
      <c r="E422" s="9"/>
      <c r="F422" s="9"/>
      <c r="G422" s="20"/>
      <c r="H422" s="20"/>
      <c r="M422" s="11"/>
      <c r="N422" s="9"/>
      <c r="O422" s="9"/>
      <c r="P422" s="9"/>
      <c r="Q422" s="9"/>
      <c r="R422" s="9"/>
    </row>
    <row r="423" ht="12.75" hidden="1"/>
    <row r="424" ht="12.75" hidden="1">
      <c r="A424" s="1"/>
    </row>
    <row r="425" ht="12.75">
      <c r="A425" s="1"/>
    </row>
    <row r="426" ht="13.5" thickBot="1">
      <c r="A426" s="1"/>
    </row>
    <row r="427" spans="1:4" ht="26.25" thickBot="1">
      <c r="A427" s="33" t="str">
        <f>A41</f>
        <v>DEUDA MONEDA EXTRANJERA</v>
      </c>
      <c r="B427" s="34"/>
      <c r="C427" s="34"/>
      <c r="D427" s="35"/>
    </row>
    <row r="428" spans="1:4" ht="13.5" thickBot="1">
      <c r="A428" s="37" t="s">
        <v>28</v>
      </c>
      <c r="B428" s="38">
        <f>B41</f>
        <v>200000000</v>
      </c>
      <c r="C428" s="7"/>
      <c r="D428" s="39"/>
    </row>
    <row r="429" spans="1:4" ht="13.5" thickBot="1">
      <c r="A429" s="41" t="s">
        <v>39</v>
      </c>
      <c r="B429" s="38">
        <f>B428/(1-B438)</f>
        <v>200000000</v>
      </c>
      <c r="C429" s="7"/>
      <c r="D429" s="39"/>
    </row>
    <row r="430" spans="1:4" ht="13.5" thickBot="1">
      <c r="A430" s="41" t="s">
        <v>40</v>
      </c>
      <c r="B430" s="121" t="s">
        <v>75</v>
      </c>
      <c r="C430" s="44" t="s">
        <v>41</v>
      </c>
      <c r="D430" s="122" t="s">
        <v>19</v>
      </c>
    </row>
    <row r="431" spans="1:4" ht="13.5" thickBot="1">
      <c r="A431" s="41" t="s">
        <v>43</v>
      </c>
      <c r="B431" s="28">
        <v>0.05</v>
      </c>
      <c r="C431" s="46"/>
      <c r="D431" s="47">
        <v>0.05</v>
      </c>
    </row>
    <row r="432" spans="1:4" ht="13.5" hidden="1" thickBot="1">
      <c r="A432" s="41"/>
      <c r="B432" s="48">
        <f>VLOOKUP(D430,L390:R400,2,0)</f>
        <v>0.04908893771615741</v>
      </c>
      <c r="C432" s="46"/>
      <c r="D432" s="49">
        <f>D431</f>
        <v>0.05</v>
      </c>
    </row>
    <row r="433" spans="1:4" ht="13.5" hidden="1" thickBot="1">
      <c r="A433" s="41"/>
      <c r="B433" s="23"/>
      <c r="C433" s="51">
        <f>IF(B430="EFECTIVA (EA)",B431,B432+D432)</f>
        <v>0.09908893771615741</v>
      </c>
      <c r="D433" s="52" t="str">
        <f>D430</f>
        <v>ATV</v>
      </c>
    </row>
    <row r="434" spans="1:4" ht="13.5" hidden="1" thickBot="1">
      <c r="A434" s="41"/>
      <c r="B434" s="23"/>
      <c r="C434" s="54">
        <f>IF(B430="EFECTIVA (EA)",C433,VLOOKUP(D433,L403:R413,7,0))</f>
        <v>0.10283210316491442</v>
      </c>
      <c r="D434" s="52" t="s">
        <v>8</v>
      </c>
    </row>
    <row r="435" spans="1:4" ht="13.5" thickBot="1">
      <c r="A435" s="56" t="s">
        <v>47</v>
      </c>
      <c r="B435" s="57">
        <f>VLOOKUP(B436,L417:M421,2,0)</f>
        <v>0.008190149794883084</v>
      </c>
      <c r="C435" s="7"/>
      <c r="D435" s="39"/>
    </row>
    <row r="436" spans="1:4" ht="13.5" thickBot="1">
      <c r="A436" s="41" t="s">
        <v>49</v>
      </c>
      <c r="B436" s="43" t="s">
        <v>10</v>
      </c>
      <c r="C436" s="7"/>
      <c r="D436" s="39"/>
    </row>
    <row r="437" spans="1:4" ht="13.5" thickBot="1">
      <c r="A437" s="41" t="s">
        <v>50</v>
      </c>
      <c r="B437" s="61">
        <v>45</v>
      </c>
      <c r="C437" s="6" t="s">
        <v>51</v>
      </c>
      <c r="D437" s="39"/>
    </row>
    <row r="438" spans="1:4" ht="26.25" thickBot="1">
      <c r="A438" s="41" t="s">
        <v>52</v>
      </c>
      <c r="B438" s="64">
        <v>0</v>
      </c>
      <c r="C438" s="6" t="s">
        <v>22</v>
      </c>
      <c r="D438" s="39"/>
    </row>
    <row r="439" spans="1:4" ht="26.25" thickBot="1">
      <c r="A439" s="41" t="s">
        <v>53</v>
      </c>
      <c r="B439" s="64">
        <v>0</v>
      </c>
      <c r="C439" s="6" t="s">
        <v>22</v>
      </c>
      <c r="D439" s="39"/>
    </row>
    <row r="440" spans="1:4" ht="26.25" thickBot="1">
      <c r="A440" s="41" t="s">
        <v>76</v>
      </c>
      <c r="B440" s="64">
        <v>0.05</v>
      </c>
      <c r="C440" s="113" t="s">
        <v>22</v>
      </c>
      <c r="D440" s="39"/>
    </row>
    <row r="441" spans="1:4" ht="13.5" thickBot="1">
      <c r="A441" s="100" t="str">
        <f>I519</f>
        <v>KI* (MONED.LOCAL)</v>
      </c>
      <c r="B441" s="66">
        <f>J519</f>
        <v>0.11907660959115596</v>
      </c>
      <c r="C441" s="67"/>
      <c r="D441" s="68"/>
    </row>
    <row r="442" ht="12.75">
      <c r="A442" s="1"/>
    </row>
    <row r="443" ht="12.75" hidden="1">
      <c r="A443" s="1"/>
    </row>
    <row r="444" spans="1:3" ht="12.75" hidden="1">
      <c r="A444" t="s">
        <v>10</v>
      </c>
      <c r="B444" s="78">
        <f>J517</f>
        <v>0.0053235973666737645</v>
      </c>
      <c r="C444" s="9">
        <f>(1+B444)^12-1</f>
        <v>0.06578724722967233</v>
      </c>
    </row>
    <row r="445" spans="1:3" ht="12.75" hidden="1">
      <c r="A445" t="s">
        <v>15</v>
      </c>
      <c r="B445" s="78">
        <f>B444</f>
        <v>0.0053235973666737645</v>
      </c>
      <c r="C445" s="9">
        <f>(1+B445)^6-1</f>
        <v>0.03236972409581651</v>
      </c>
    </row>
    <row r="446" spans="1:3" ht="12.75" hidden="1">
      <c r="A446" t="s">
        <v>18</v>
      </c>
      <c r="B446" s="78">
        <f>B445</f>
        <v>0.0053235973666737645</v>
      </c>
      <c r="C446" s="9">
        <f>(1+B446)^4-1</f>
        <v>0.021465037901092776</v>
      </c>
    </row>
    <row r="447" spans="1:3" ht="12.75" hidden="1">
      <c r="A447" t="s">
        <v>20</v>
      </c>
      <c r="B447" s="78">
        <f>B446</f>
        <v>0.0053235973666737645</v>
      </c>
      <c r="C447" s="9">
        <f>(1+B447)^2-1</f>
        <v>0.010675535422270288</v>
      </c>
    </row>
    <row r="448" spans="1:7" ht="12.75" hidden="1">
      <c r="A448" t="s">
        <v>22</v>
      </c>
      <c r="B448" s="78">
        <f>B447</f>
        <v>0.0053235973666737645</v>
      </c>
      <c r="C448" s="9">
        <f>(1+B448)^1-1</f>
        <v>0.005323597366673871</v>
      </c>
      <c r="G448" s="114"/>
    </row>
    <row r="449" ht="12.75" hidden="1">
      <c r="A449" s="1"/>
    </row>
    <row r="450" ht="12.75" hidden="1">
      <c r="A450" s="1"/>
    </row>
    <row r="451" ht="12.75" hidden="1">
      <c r="A451" s="1"/>
    </row>
    <row r="452" spans="1:9" ht="25.5" hidden="1">
      <c r="A452" s="106" t="str">
        <f>A427</f>
        <v>DEUDA MONEDA EXTRANJERA</v>
      </c>
      <c r="D452" s="105"/>
      <c r="I452" s="11"/>
    </row>
    <row r="453" ht="12.75" hidden="1">
      <c r="A453" s="1"/>
    </row>
    <row r="454" spans="1:10" ht="12.75" hidden="1">
      <c r="A454" s="1" t="s">
        <v>67</v>
      </c>
      <c r="B454" t="s">
        <v>28</v>
      </c>
      <c r="C454" t="s">
        <v>68</v>
      </c>
      <c r="D454" t="s">
        <v>69</v>
      </c>
      <c r="E454" t="s">
        <v>70</v>
      </c>
      <c r="G454" s="1" t="s">
        <v>71</v>
      </c>
      <c r="H454" s="1" t="s">
        <v>72</v>
      </c>
      <c r="I454" t="s">
        <v>71</v>
      </c>
      <c r="J454" t="s">
        <v>73</v>
      </c>
    </row>
    <row r="455" spans="1:10" ht="12.75" hidden="1">
      <c r="A455" s="1">
        <v>0</v>
      </c>
      <c r="B455" s="101">
        <f>B428</f>
        <v>200000000</v>
      </c>
      <c r="C455" s="101"/>
      <c r="D455" s="101"/>
      <c r="E455" s="101">
        <f>B284*$B$161</f>
        <v>0</v>
      </c>
      <c r="F455" s="101"/>
      <c r="G455" s="102">
        <f>B455-E455</f>
        <v>200000000</v>
      </c>
      <c r="H455" s="102">
        <f aca="true" t="shared" si="47" ref="H455:H515">IF(A455&gt;$B$437,"",(E455+C455)*$F$38)</f>
        <v>0</v>
      </c>
      <c r="I455" s="103">
        <f>G455+H455</f>
        <v>200000000</v>
      </c>
      <c r="J455" s="104">
        <f>I455</f>
        <v>200000000</v>
      </c>
    </row>
    <row r="456" spans="1:9" ht="12.75" hidden="1">
      <c r="A456" s="1">
        <v>1</v>
      </c>
      <c r="B456" s="101">
        <f>IF(A456&gt;$B$160,"",B455+C456-D456)</f>
        <v>196306403.07912153</v>
      </c>
      <c r="C456" s="101">
        <f>IF(A456&gt;$B$437,"",B455*$B$435)</f>
        <v>1638029.9589766169</v>
      </c>
      <c r="D456" s="101">
        <f>IF(A456&gt;$B$437,"",$B$455/((((1+$B$435)^$B$437-1)/($B$435*(1+$B$435)^$B$437))))</f>
        <v>5331626.879855099</v>
      </c>
      <c r="E456" s="101"/>
      <c r="F456" s="101"/>
      <c r="G456" s="102">
        <f>IF(A456&gt;$B$160,"",-D456-E456)</f>
        <v>-5331626.879855099</v>
      </c>
      <c r="H456" s="102">
        <f t="shared" si="47"/>
        <v>573310.4856418158</v>
      </c>
      <c r="I456" s="103">
        <f aca="true" t="shared" si="48" ref="I456:I515">IF(A456&gt;$B$160,"",G456+H456)</f>
        <v>-4758316.394213283</v>
      </c>
    </row>
    <row r="457" spans="1:9" ht="12.75" hidden="1">
      <c r="A457" s="1">
        <v>2</v>
      </c>
      <c r="B457" s="101">
        <f aca="true" t="shared" si="49" ref="B457:B515">IF(A457&gt;$B$160,"",B456+C457-D457)</f>
        <v>192582555.04617915</v>
      </c>
      <c r="C457" s="101">
        <f aca="true" t="shared" si="50" ref="C457:C515">IF(A457&gt;$B$437,"",B456*$B$435)</f>
        <v>1607778.8469127032</v>
      </c>
      <c r="D457" s="101">
        <f aca="true" t="shared" si="51" ref="D457:D515">IF(A457&gt;$B$437,"",$B$455/((((1+$B$435)^$B$437-1)/($B$435*(1+$B$435)^$B$437))))</f>
        <v>5331626.879855099</v>
      </c>
      <c r="E457" s="101"/>
      <c r="F457" s="101"/>
      <c r="G457" s="102">
        <f aca="true" t="shared" si="52" ref="G457:G515">IF(A457&gt;$B$160,"",-D457-E457)</f>
        <v>-5331626.879855099</v>
      </c>
      <c r="H457" s="102">
        <f t="shared" si="47"/>
        <v>562722.596419446</v>
      </c>
      <c r="I457" s="103">
        <f t="shared" si="48"/>
        <v>-4768904.283435653</v>
      </c>
    </row>
    <row r="458" spans="1:9" ht="12.75" hidden="1">
      <c r="A458" s="1">
        <v>3</v>
      </c>
      <c r="B458" s="101">
        <f t="shared" si="49"/>
        <v>188828208.14003357</v>
      </c>
      <c r="C458" s="101">
        <f t="shared" si="50"/>
        <v>1577279.9737095244</v>
      </c>
      <c r="D458" s="101">
        <f t="shared" si="51"/>
        <v>5331626.879855099</v>
      </c>
      <c r="E458" s="101"/>
      <c r="F458" s="101"/>
      <c r="G458" s="102">
        <f t="shared" si="52"/>
        <v>-5331626.879855099</v>
      </c>
      <c r="H458" s="102">
        <f t="shared" si="47"/>
        <v>552047.9907983335</v>
      </c>
      <c r="I458" s="103">
        <f t="shared" si="48"/>
        <v>-4779578.8890567655</v>
      </c>
    </row>
    <row r="459" spans="1:10" s="23" customFormat="1" ht="12.75" hidden="1">
      <c r="A459" s="1">
        <v>4</v>
      </c>
      <c r="B459" s="101">
        <f t="shared" si="49"/>
        <v>185043112.57034472</v>
      </c>
      <c r="C459" s="101">
        <f t="shared" si="50"/>
        <v>1546531.3101662362</v>
      </c>
      <c r="D459" s="101">
        <f t="shared" si="51"/>
        <v>5331626.879855099</v>
      </c>
      <c r="E459" s="101"/>
      <c r="F459" s="101"/>
      <c r="G459" s="102">
        <f t="shared" si="52"/>
        <v>-5331626.879855099</v>
      </c>
      <c r="H459" s="102">
        <f t="shared" si="47"/>
        <v>541285.9585581827</v>
      </c>
      <c r="I459" s="103">
        <f t="shared" si="48"/>
        <v>-4790340.921296917</v>
      </c>
      <c r="J459"/>
    </row>
    <row r="460" spans="1:10" s="23" customFormat="1" ht="12.75" hidden="1">
      <c r="A460" s="1">
        <v>5</v>
      </c>
      <c r="B460" s="101">
        <f t="shared" si="49"/>
        <v>181227016.50095215</v>
      </c>
      <c r="C460" s="101">
        <f t="shared" si="50"/>
        <v>1515530.810462536</v>
      </c>
      <c r="D460" s="101">
        <f t="shared" si="51"/>
        <v>5331626.879855099</v>
      </c>
      <c r="E460" s="101"/>
      <c r="F460" s="101"/>
      <c r="G460" s="102">
        <f t="shared" si="52"/>
        <v>-5331626.879855099</v>
      </c>
      <c r="H460" s="102">
        <f t="shared" si="47"/>
        <v>530435.7836618876</v>
      </c>
      <c r="I460" s="103">
        <f t="shared" si="48"/>
        <v>-4801191.096193211</v>
      </c>
      <c r="J460"/>
    </row>
    <row r="461" spans="1:10" s="23" customFormat="1" ht="12.75" hidden="1">
      <c r="A461" s="1">
        <v>6</v>
      </c>
      <c r="B461" s="101">
        <f t="shared" si="49"/>
        <v>177379666.03311962</v>
      </c>
      <c r="C461" s="101">
        <f t="shared" si="50"/>
        <v>1484276.4120225464</v>
      </c>
      <c r="D461" s="101">
        <f t="shared" si="51"/>
        <v>5331626.879855099</v>
      </c>
      <c r="E461" s="101"/>
      <c r="F461" s="101"/>
      <c r="G461" s="102">
        <f t="shared" si="52"/>
        <v>-5331626.879855099</v>
      </c>
      <c r="H461" s="102">
        <f t="shared" si="47"/>
        <v>519496.7442078912</v>
      </c>
      <c r="I461" s="103">
        <f t="shared" si="48"/>
        <v>-4812130.1356472075</v>
      </c>
      <c r="J461"/>
    </row>
    <row r="462" spans="1:10" s="23" customFormat="1" ht="12.75" hidden="1">
      <c r="A462" s="1">
        <v>7</v>
      </c>
      <c r="B462" s="101">
        <f t="shared" si="49"/>
        <v>173500805.1886421</v>
      </c>
      <c r="C462" s="101">
        <f t="shared" si="50"/>
        <v>1452766.0353775846</v>
      </c>
      <c r="D462" s="101">
        <f t="shared" si="51"/>
        <v>5331626.879855099</v>
      </c>
      <c r="E462" s="101"/>
      <c r="F462" s="101"/>
      <c r="G462" s="102">
        <f t="shared" si="52"/>
        <v>-5331626.879855099</v>
      </c>
      <c r="H462" s="102">
        <f t="shared" si="47"/>
        <v>508468.11238215456</v>
      </c>
      <c r="I462" s="103">
        <f t="shared" si="48"/>
        <v>-4823158.767472944</v>
      </c>
      <c r="J462"/>
    </row>
    <row r="463" spans="1:10" s="23" customFormat="1" ht="12.75" hidden="1">
      <c r="A463" s="1">
        <v>8</v>
      </c>
      <c r="B463" s="101">
        <f t="shared" si="49"/>
        <v>169590175.89281482</v>
      </c>
      <c r="C463" s="101">
        <f t="shared" si="50"/>
        <v>1420997.584027807</v>
      </c>
      <c r="D463" s="101">
        <f t="shared" si="51"/>
        <v>5331626.879855099</v>
      </c>
      <c r="E463" s="101"/>
      <c r="F463" s="101"/>
      <c r="G463" s="102">
        <f t="shared" si="52"/>
        <v>-5331626.879855099</v>
      </c>
      <c r="H463" s="102">
        <f t="shared" si="47"/>
        <v>497349.15440973244</v>
      </c>
      <c r="I463" s="103">
        <f t="shared" si="48"/>
        <v>-4834277.725445366</v>
      </c>
      <c r="J463"/>
    </row>
    <row r="464" spans="1:10" s="23" customFormat="1" ht="12.75" hidden="1">
      <c r="A464" s="1">
        <v>9</v>
      </c>
      <c r="B464" s="101">
        <f t="shared" si="49"/>
        <v>165647517.95726246</v>
      </c>
      <c r="C464" s="101">
        <f t="shared" si="50"/>
        <v>1388968.9443027233</v>
      </c>
      <c r="D464" s="101">
        <f t="shared" si="51"/>
        <v>5331626.879855099</v>
      </c>
      <c r="E464" s="101"/>
      <c r="F464" s="101"/>
      <c r="G464" s="102">
        <f t="shared" si="52"/>
        <v>-5331626.879855099</v>
      </c>
      <c r="H464" s="102">
        <f t="shared" si="47"/>
        <v>486139.1305059531</v>
      </c>
      <c r="I464" s="103">
        <f t="shared" si="48"/>
        <v>-4845487.749349146</v>
      </c>
      <c r="J464"/>
    </row>
    <row r="465" spans="1:10" s="23" customFormat="1" ht="12.75" hidden="1">
      <c r="A465" s="1">
        <v>10</v>
      </c>
      <c r="B465" s="101">
        <f t="shared" si="49"/>
        <v>161672569.0626279</v>
      </c>
      <c r="C465" s="101">
        <f t="shared" si="50"/>
        <v>1356677.985220565</v>
      </c>
      <c r="D465" s="101">
        <f t="shared" si="51"/>
        <v>5331626.879855099</v>
      </c>
      <c r="E465" s="101"/>
      <c r="F465" s="101"/>
      <c r="G465" s="102">
        <f t="shared" si="52"/>
        <v>-5331626.879855099</v>
      </c>
      <c r="H465" s="102">
        <f t="shared" si="47"/>
        <v>474837.29482719774</v>
      </c>
      <c r="I465" s="103">
        <f t="shared" si="48"/>
        <v>-4856789.585027901</v>
      </c>
      <c r="J465"/>
    </row>
    <row r="466" spans="1:10" s="23" customFormat="1" ht="12.75" hidden="1">
      <c r="A466" s="1">
        <v>11</v>
      </c>
      <c r="B466" s="101">
        <f t="shared" si="49"/>
        <v>157665064.74111933</v>
      </c>
      <c r="C466" s="101">
        <f t="shared" si="50"/>
        <v>1324122.5583465032</v>
      </c>
      <c r="D466" s="101">
        <f t="shared" si="51"/>
        <v>5331626.879855099</v>
      </c>
      <c r="E466" s="101"/>
      <c r="F466" s="101"/>
      <c r="G466" s="102">
        <f t="shared" si="52"/>
        <v>-5331626.879855099</v>
      </c>
      <c r="H466" s="102">
        <f t="shared" si="47"/>
        <v>463442.8954212761</v>
      </c>
      <c r="I466" s="103">
        <f t="shared" si="48"/>
        <v>-4868183.984433823</v>
      </c>
      <c r="J466"/>
    </row>
    <row r="467" spans="1:10" s="23" customFormat="1" ht="12.75" hidden="1">
      <c r="A467" s="106">
        <v>12</v>
      </c>
      <c r="B467" s="101">
        <f t="shared" si="49"/>
        <v>153624738.35891393</v>
      </c>
      <c r="C467" s="101">
        <f t="shared" si="50"/>
        <v>1291300.4976497067</v>
      </c>
      <c r="D467" s="101">
        <f t="shared" si="51"/>
        <v>5331626.879855099</v>
      </c>
      <c r="E467" s="107">
        <f>IF(A467&gt;$B$160,"",B455*$B$162)</f>
        <v>0</v>
      </c>
      <c r="F467" s="107"/>
      <c r="G467" s="102">
        <f t="shared" si="52"/>
        <v>-5331626.879855099</v>
      </c>
      <c r="H467" s="102">
        <f t="shared" si="47"/>
        <v>451955.17417739733</v>
      </c>
      <c r="I467" s="103">
        <f t="shared" si="48"/>
        <v>-4879671.705677702</v>
      </c>
      <c r="J467" s="104">
        <f>SUM(I456:I467)</f>
        <v>-57818031.237249926</v>
      </c>
    </row>
    <row r="468" spans="1:10" s="23" customFormat="1" ht="12.75" hidden="1">
      <c r="A468" s="1">
        <v>13</v>
      </c>
      <c r="B468" s="101">
        <f t="shared" si="49"/>
        <v>149551321.09841806</v>
      </c>
      <c r="C468" s="101">
        <f t="shared" si="50"/>
        <v>1258209.6193592262</v>
      </c>
      <c r="D468" s="101">
        <f t="shared" si="51"/>
        <v>5331626.879855099</v>
      </c>
      <c r="E468" s="101"/>
      <c r="F468" s="101"/>
      <c r="G468" s="102">
        <f t="shared" si="52"/>
        <v>-5331626.879855099</v>
      </c>
      <c r="H468" s="102">
        <f t="shared" si="47"/>
        <v>440373.36677572917</v>
      </c>
      <c r="I468" s="103">
        <f t="shared" si="48"/>
        <v>-4891253.51307937</v>
      </c>
      <c r="J468"/>
    </row>
    <row r="469" spans="1:10" s="23" customFormat="1" ht="12.75" hidden="1">
      <c r="A469" s="1">
        <v>14</v>
      </c>
      <c r="B469" s="101">
        <f t="shared" si="49"/>
        <v>145444541.94038168</v>
      </c>
      <c r="C469" s="101">
        <f t="shared" si="50"/>
        <v>1224847.7218187028</v>
      </c>
      <c r="D469" s="101">
        <f t="shared" si="51"/>
        <v>5331626.879855099</v>
      </c>
      <c r="E469" s="101"/>
      <c r="F469" s="101"/>
      <c r="G469" s="102">
        <f t="shared" si="52"/>
        <v>-5331626.879855099</v>
      </c>
      <c r="H469" s="102">
        <f t="shared" si="47"/>
        <v>428696.70263654593</v>
      </c>
      <c r="I469" s="103">
        <f t="shared" si="48"/>
        <v>-4902930.177218554</v>
      </c>
      <c r="J469"/>
    </row>
    <row r="470" spans="1:10" s="23" customFormat="1" ht="12.75" hidden="1">
      <c r="A470" s="1">
        <v>15</v>
      </c>
      <c r="B470" s="101">
        <f t="shared" si="49"/>
        <v>141304127.64586645</v>
      </c>
      <c r="C470" s="101">
        <f t="shared" si="50"/>
        <v>1191212.585339881</v>
      </c>
      <c r="D470" s="101">
        <f t="shared" si="51"/>
        <v>5331626.879855099</v>
      </c>
      <c r="E470" s="101"/>
      <c r="F470" s="101"/>
      <c r="G470" s="102">
        <f t="shared" si="52"/>
        <v>-5331626.879855099</v>
      </c>
      <c r="H470" s="102">
        <f t="shared" si="47"/>
        <v>416924.40486895834</v>
      </c>
      <c r="I470" s="103">
        <f t="shared" si="48"/>
        <v>-4914702.474986141</v>
      </c>
      <c r="J470"/>
    </row>
    <row r="471" spans="1:10" s="23" customFormat="1" ht="12.75" hidden="1">
      <c r="A471" s="1">
        <v>16</v>
      </c>
      <c r="B471" s="101">
        <f t="shared" si="49"/>
        <v>137129802.7380663</v>
      </c>
      <c r="C471" s="101">
        <f t="shared" si="50"/>
        <v>1157301.9720549262</v>
      </c>
      <c r="D471" s="101">
        <f t="shared" si="51"/>
        <v>5331626.879855099</v>
      </c>
      <c r="E471" s="101"/>
      <c r="F471" s="101"/>
      <c r="G471" s="102">
        <f t="shared" si="52"/>
        <v>-5331626.879855099</v>
      </c>
      <c r="H471" s="102">
        <f t="shared" si="47"/>
        <v>405055.69021922414</v>
      </c>
      <c r="I471" s="103">
        <f t="shared" si="48"/>
        <v>-4926571.189635875</v>
      </c>
      <c r="J471"/>
    </row>
    <row r="472" spans="1:10" s="23" customFormat="1" ht="12.75" hidden="1">
      <c r="A472" s="1">
        <v>17</v>
      </c>
      <c r="B472" s="101">
        <f t="shared" si="49"/>
        <v>132921289.48397872</v>
      </c>
      <c r="C472" s="101">
        <f t="shared" si="50"/>
        <v>1123113.6257675313</v>
      </c>
      <c r="D472" s="101">
        <f t="shared" si="51"/>
        <v>5331626.879855099</v>
      </c>
      <c r="E472" s="101"/>
      <c r="F472" s="101"/>
      <c r="G472" s="102">
        <f t="shared" si="52"/>
        <v>-5331626.879855099</v>
      </c>
      <c r="H472" s="102">
        <f t="shared" si="47"/>
        <v>393089.76901863597</v>
      </c>
      <c r="I472" s="103">
        <f t="shared" si="48"/>
        <v>-4938537.110836463</v>
      </c>
      <c r="J472"/>
    </row>
    <row r="473" spans="1:10" s="23" customFormat="1" ht="12.75" hidden="1">
      <c r="A473" s="1">
        <v>18</v>
      </c>
      <c r="B473" s="101">
        <f t="shared" si="49"/>
        <v>128678307.87592642</v>
      </c>
      <c r="C473" s="101">
        <f t="shared" si="50"/>
        <v>1088645.2718028033</v>
      </c>
      <c r="D473" s="101">
        <f t="shared" si="51"/>
        <v>5331626.879855099</v>
      </c>
      <c r="E473" s="101"/>
      <c r="F473" s="101"/>
      <c r="G473" s="102">
        <f t="shared" si="52"/>
        <v>-5331626.879855099</v>
      </c>
      <c r="H473" s="102">
        <f t="shared" si="47"/>
        <v>381025.8451309811</v>
      </c>
      <c r="I473" s="103">
        <f t="shared" si="48"/>
        <v>-4950601.034724118</v>
      </c>
      <c r="J473"/>
    </row>
    <row r="474" spans="1:10" s="23" customFormat="1" ht="12.75" hidden="1">
      <c r="A474" s="1">
        <v>19</v>
      </c>
      <c r="B474" s="101">
        <f t="shared" si="49"/>
        <v>124400575.61292724</v>
      </c>
      <c r="C474" s="101">
        <f t="shared" si="50"/>
        <v>1053894.616855921</v>
      </c>
      <c r="D474" s="101">
        <f t="shared" si="51"/>
        <v>5331626.879855099</v>
      </c>
      <c r="E474" s="101"/>
      <c r="F474" s="101"/>
      <c r="G474" s="102">
        <f t="shared" si="52"/>
        <v>-5331626.879855099</v>
      </c>
      <c r="H474" s="102">
        <f t="shared" si="47"/>
        <v>368863.1158995723</v>
      </c>
      <c r="I474" s="103">
        <f t="shared" si="48"/>
        <v>-4962763.763955527</v>
      </c>
      <c r="J474"/>
    </row>
    <row r="475" spans="1:10" s="23" customFormat="1" ht="12.75" hidden="1">
      <c r="A475" s="1">
        <v>20</v>
      </c>
      <c r="B475" s="101">
        <f t="shared" si="49"/>
        <v>120087808.0819117</v>
      </c>
      <c r="C475" s="101">
        <f t="shared" si="50"/>
        <v>1018859.3488395537</v>
      </c>
      <c r="D475" s="101">
        <f t="shared" si="51"/>
        <v>5331626.879855099</v>
      </c>
      <c r="E475" s="101"/>
      <c r="F475" s="101"/>
      <c r="G475" s="102">
        <f t="shared" si="52"/>
        <v>-5331626.879855099</v>
      </c>
      <c r="H475" s="102">
        <f t="shared" si="47"/>
        <v>356600.7720938438</v>
      </c>
      <c r="I475" s="103">
        <f t="shared" si="48"/>
        <v>-4975026.107761255</v>
      </c>
      <c r="J475"/>
    </row>
    <row r="476" spans="1:10" s="23" customFormat="1" ht="12.75" hidden="1">
      <c r="A476" s="1">
        <v>21</v>
      </c>
      <c r="B476" s="101">
        <f t="shared" si="49"/>
        <v>115739718.33878663</v>
      </c>
      <c r="C476" s="101">
        <f t="shared" si="50"/>
        <v>983537.1367300282</v>
      </c>
      <c r="D476" s="101">
        <f t="shared" si="51"/>
        <v>5331626.879855099</v>
      </c>
      <c r="E476" s="101"/>
      <c r="F476" s="101"/>
      <c r="G476" s="102">
        <f t="shared" si="52"/>
        <v>-5331626.879855099</v>
      </c>
      <c r="H476" s="102">
        <f t="shared" si="47"/>
        <v>344237.99785550986</v>
      </c>
      <c r="I476" s="103">
        <f t="shared" si="48"/>
        <v>-4987388.8819995895</v>
      </c>
      <c r="J476"/>
    </row>
    <row r="477" spans="1:10" s="23" customFormat="1" ht="12.75" hidden="1">
      <c r="A477" s="1">
        <v>22</v>
      </c>
      <c r="B477" s="101">
        <f t="shared" si="49"/>
        <v>111356017.08934377</v>
      </c>
      <c r="C477" s="101">
        <f t="shared" si="50"/>
        <v>947925.6304122392</v>
      </c>
      <c r="D477" s="101">
        <f t="shared" si="51"/>
        <v>5331626.879855099</v>
      </c>
      <c r="E477" s="101"/>
      <c r="F477" s="101"/>
      <c r="G477" s="102">
        <f t="shared" si="52"/>
        <v>-5331626.879855099</v>
      </c>
      <c r="H477" s="102">
        <f t="shared" si="47"/>
        <v>331773.9706442837</v>
      </c>
      <c r="I477" s="103">
        <f t="shared" si="48"/>
        <v>-4999852.909210815</v>
      </c>
      <c r="J477"/>
    </row>
    <row r="478" spans="1:10" s="23" customFormat="1" ht="12.75" hidden="1">
      <c r="A478" s="1">
        <v>23</v>
      </c>
      <c r="B478" s="101">
        <f t="shared" si="49"/>
        <v>106936412.67001197</v>
      </c>
      <c r="C478" s="101">
        <f t="shared" si="50"/>
        <v>912022.460523286</v>
      </c>
      <c r="D478" s="101">
        <f t="shared" si="51"/>
        <v>5331626.879855099</v>
      </c>
      <c r="E478" s="101"/>
      <c r="F478" s="101"/>
      <c r="G478" s="102">
        <f t="shared" si="52"/>
        <v>-5331626.879855099</v>
      </c>
      <c r="H478" s="102">
        <f t="shared" si="47"/>
        <v>319207.8611831501</v>
      </c>
      <c r="I478" s="103">
        <f t="shared" si="48"/>
        <v>-5012419.018671949</v>
      </c>
      <c r="J478"/>
    </row>
    <row r="479" spans="1:10" s="23" customFormat="1" ht="12.75" hidden="1">
      <c r="A479" s="106">
        <v>24</v>
      </c>
      <c r="B479" s="101">
        <f t="shared" si="49"/>
        <v>102480611.0284517</v>
      </c>
      <c r="C479" s="101">
        <f t="shared" si="50"/>
        <v>875825.2382948314</v>
      </c>
      <c r="D479" s="101">
        <f t="shared" si="51"/>
        <v>5331626.879855099</v>
      </c>
      <c r="E479" s="107">
        <f>IF(A479&gt;$B$160,"",B467*$B$162)</f>
        <v>0</v>
      </c>
      <c r="F479" s="107"/>
      <c r="G479" s="102">
        <f t="shared" si="52"/>
        <v>-5331626.879855099</v>
      </c>
      <c r="H479" s="102">
        <f t="shared" si="47"/>
        <v>306538.83340319095</v>
      </c>
      <c r="I479" s="103">
        <f t="shared" si="48"/>
        <v>-5025088.046451909</v>
      </c>
      <c r="J479" s="104">
        <f>SUM(I468:I479)</f>
        <v>-59487134.22853157</v>
      </c>
    </row>
    <row r="480" spans="1:10" s="23" customFormat="1" ht="12.75" hidden="1">
      <c r="A480" s="1">
        <v>25</v>
      </c>
      <c r="B480" s="101">
        <f t="shared" si="49"/>
        <v>97988315.70399077</v>
      </c>
      <c r="C480" s="101">
        <f t="shared" si="50"/>
        <v>839331.5553941667</v>
      </c>
      <c r="D480" s="101">
        <f t="shared" si="51"/>
        <v>5331626.879855099</v>
      </c>
      <c r="E480" s="101"/>
      <c r="F480" s="101"/>
      <c r="G480" s="102">
        <f t="shared" si="52"/>
        <v>-5331626.879855099</v>
      </c>
      <c r="H480" s="102">
        <f t="shared" si="47"/>
        <v>293766.04438795836</v>
      </c>
      <c r="I480" s="103">
        <f t="shared" si="48"/>
        <v>-5037860.835467141</v>
      </c>
      <c r="J480"/>
    </row>
    <row r="481" spans="1:10" s="23" customFormat="1" ht="12.75" hidden="1">
      <c r="A481" s="1">
        <v>26</v>
      </c>
      <c r="B481" s="101">
        <f t="shared" si="49"/>
        <v>93459227.80789965</v>
      </c>
      <c r="C481" s="101">
        <f t="shared" si="50"/>
        <v>802538.9837639788</v>
      </c>
      <c r="D481" s="101">
        <f t="shared" si="51"/>
        <v>5331626.879855099</v>
      </c>
      <c r="E481" s="101"/>
      <c r="F481" s="101"/>
      <c r="G481" s="102">
        <f t="shared" si="52"/>
        <v>-5331626.879855099</v>
      </c>
      <c r="H481" s="102">
        <f t="shared" si="47"/>
        <v>280888.64431739255</v>
      </c>
      <c r="I481" s="103">
        <f t="shared" si="48"/>
        <v>-5050738.235537707</v>
      </c>
      <c r="J481"/>
    </row>
    <row r="482" spans="1:10" s="23" customFormat="1" ht="12.75" hidden="1">
      <c r="A482" s="1">
        <v>27</v>
      </c>
      <c r="B482" s="101">
        <f t="shared" si="49"/>
        <v>88893046.00350536</v>
      </c>
      <c r="C482" s="101">
        <f t="shared" si="50"/>
        <v>765445.0754608008</v>
      </c>
      <c r="D482" s="101">
        <f t="shared" si="51"/>
        <v>5331626.879855099</v>
      </c>
      <c r="E482" s="101"/>
      <c r="F482" s="101"/>
      <c r="G482" s="102">
        <f t="shared" si="52"/>
        <v>-5331626.879855099</v>
      </c>
      <c r="H482" s="102">
        <f t="shared" si="47"/>
        <v>267905.77641128027</v>
      </c>
      <c r="I482" s="103">
        <f t="shared" si="48"/>
        <v>-5063721.103443819</v>
      </c>
      <c r="J482"/>
    </row>
    <row r="483" spans="1:10" s="23" customFormat="1" ht="12.75" hidden="1">
      <c r="A483" s="1">
        <v>28</v>
      </c>
      <c r="B483" s="101">
        <f t="shared" si="49"/>
        <v>84289466.48614241</v>
      </c>
      <c r="C483" s="101">
        <f t="shared" si="50"/>
        <v>728047.362492142</v>
      </c>
      <c r="D483" s="101">
        <f t="shared" si="51"/>
        <v>5331626.879855099</v>
      </c>
      <c r="E483" s="101"/>
      <c r="F483" s="101"/>
      <c r="G483" s="102">
        <f t="shared" si="52"/>
        <v>-5331626.879855099</v>
      </c>
      <c r="H483" s="102">
        <f t="shared" si="47"/>
        <v>254816.5768722497</v>
      </c>
      <c r="I483" s="103">
        <f t="shared" si="48"/>
        <v>-5076810.302982849</v>
      </c>
      <c r="J483"/>
    </row>
    <row r="484" spans="1:10" s="23" customFormat="1" ht="12.75" hidden="1">
      <c r="A484" s="1">
        <v>29</v>
      </c>
      <c r="B484" s="101">
        <f t="shared" si="49"/>
        <v>79648182.9629396</v>
      </c>
      <c r="C484" s="101">
        <f t="shared" si="50"/>
        <v>690343.3566522838</v>
      </c>
      <c r="D484" s="101">
        <f t="shared" si="51"/>
        <v>5331626.879855099</v>
      </c>
      <c r="E484" s="101"/>
      <c r="F484" s="101"/>
      <c r="G484" s="102">
        <f t="shared" si="52"/>
        <v>-5331626.879855099</v>
      </c>
      <c r="H484" s="102">
        <f t="shared" si="47"/>
        <v>241620.17482829932</v>
      </c>
      <c r="I484" s="103">
        <f t="shared" si="48"/>
        <v>-5090006.7050268</v>
      </c>
      <c r="J484"/>
    </row>
    <row r="485" spans="1:10" s="23" customFormat="1" ht="12.75" hidden="1">
      <c r="A485" s="1">
        <v>30</v>
      </c>
      <c r="B485" s="101">
        <f t="shared" si="49"/>
        <v>74968886.63244124</v>
      </c>
      <c r="C485" s="101">
        <f t="shared" si="50"/>
        <v>652330.5493567301</v>
      </c>
      <c r="D485" s="101">
        <f t="shared" si="51"/>
        <v>5331626.879855099</v>
      </c>
      <c r="E485" s="101"/>
      <c r="F485" s="101"/>
      <c r="G485" s="102">
        <f t="shared" si="52"/>
        <v>-5331626.879855099</v>
      </c>
      <c r="H485" s="102">
        <f t="shared" si="47"/>
        <v>228315.6922748555</v>
      </c>
      <c r="I485" s="103">
        <f t="shared" si="48"/>
        <v>-5103311.187580244</v>
      </c>
      <c r="J485"/>
    </row>
    <row r="486" spans="1:10" s="23" customFormat="1" ht="12.75" hidden="1">
      <c r="A486" s="1">
        <v>31</v>
      </c>
      <c r="B486" s="101">
        <f t="shared" si="49"/>
        <v>70251266.16406144</v>
      </c>
      <c r="C486" s="101">
        <f t="shared" si="50"/>
        <v>614006.4114753017</v>
      </c>
      <c r="D486" s="101">
        <f t="shared" si="51"/>
        <v>5331626.879855099</v>
      </c>
      <c r="E486" s="101"/>
      <c r="F486" s="101"/>
      <c r="G486" s="102">
        <f t="shared" si="52"/>
        <v>-5331626.879855099</v>
      </c>
      <c r="H486" s="102">
        <f t="shared" si="47"/>
        <v>214902.2440163556</v>
      </c>
      <c r="I486" s="103">
        <f t="shared" si="48"/>
        <v>-5116724.635838743</v>
      </c>
      <c r="J486"/>
    </row>
    <row r="487" spans="1:10" s="23" customFormat="1" ht="12.75" hidden="1">
      <c r="A487" s="1">
        <v>32</v>
      </c>
      <c r="B487" s="101">
        <f t="shared" si="49"/>
        <v>65495007.677370206</v>
      </c>
      <c r="C487" s="101">
        <f t="shared" si="50"/>
        <v>575368.3931638647</v>
      </c>
      <c r="D487" s="101">
        <f t="shared" si="51"/>
        <v>5331626.879855099</v>
      </c>
      <c r="E487" s="101"/>
      <c r="F487" s="101"/>
      <c r="G487" s="102">
        <f t="shared" si="52"/>
        <v>-5331626.879855099</v>
      </c>
      <c r="H487" s="102">
        <f t="shared" si="47"/>
        <v>201378.93760735265</v>
      </c>
      <c r="I487" s="103">
        <f t="shared" si="48"/>
        <v>-5130247.9422477465</v>
      </c>
      <c r="J487"/>
    </row>
    <row r="488" spans="1:10" s="23" customFormat="1" ht="12.75" hidden="1">
      <c r="A488" s="1">
        <v>33</v>
      </c>
      <c r="B488" s="101">
        <f t="shared" si="49"/>
        <v>60699794.72120979</v>
      </c>
      <c r="C488" s="101">
        <f t="shared" si="50"/>
        <v>536413.9236946796</v>
      </c>
      <c r="D488" s="101">
        <f t="shared" si="51"/>
        <v>5331626.879855099</v>
      </c>
      <c r="E488" s="101"/>
      <c r="F488" s="101"/>
      <c r="G488" s="102">
        <f t="shared" si="52"/>
        <v>-5331626.879855099</v>
      </c>
      <c r="H488" s="102">
        <f t="shared" si="47"/>
        <v>187744.87329313785</v>
      </c>
      <c r="I488" s="103">
        <f t="shared" si="48"/>
        <v>-5143882.006561961</v>
      </c>
      <c r="J488"/>
    </row>
    <row r="489" spans="1:10" s="23" customFormat="1" ht="12.75" hidden="1">
      <c r="A489" s="1">
        <v>34</v>
      </c>
      <c r="B489" s="101">
        <f t="shared" si="49"/>
        <v>55865308.25264005</v>
      </c>
      <c r="C489" s="101">
        <f t="shared" si="50"/>
        <v>497140.4112853616</v>
      </c>
      <c r="D489" s="101">
        <f t="shared" si="51"/>
        <v>5331626.879855099</v>
      </c>
      <c r="E489" s="101"/>
      <c r="F489" s="101"/>
      <c r="G489" s="102">
        <f t="shared" si="52"/>
        <v>-5331626.879855099</v>
      </c>
      <c r="H489" s="102">
        <f t="shared" si="47"/>
        <v>173999.14394987657</v>
      </c>
      <c r="I489" s="103">
        <f t="shared" si="48"/>
        <v>-5157627.735905223</v>
      </c>
      <c r="J489"/>
    </row>
    <row r="490" spans="1:10" s="23" customFormat="1" ht="12.75" hidden="1">
      <c r="A490" s="1">
        <v>35</v>
      </c>
      <c r="B490" s="101">
        <f t="shared" si="49"/>
        <v>50991226.6157114</v>
      </c>
      <c r="C490" s="101">
        <f t="shared" si="50"/>
        <v>457545.2429264402</v>
      </c>
      <c r="D490" s="101">
        <f t="shared" si="51"/>
        <v>5331626.879855099</v>
      </c>
      <c r="E490" s="101"/>
      <c r="F490" s="101"/>
      <c r="G490" s="102">
        <f t="shared" si="52"/>
        <v>-5331626.879855099</v>
      </c>
      <c r="H490" s="102">
        <f t="shared" si="47"/>
        <v>160140.83502425405</v>
      </c>
      <c r="I490" s="103">
        <f t="shared" si="48"/>
        <v>-5171486.044830845</v>
      </c>
      <c r="J490"/>
    </row>
    <row r="491" spans="1:10" s="23" customFormat="1" ht="12.75" hidden="1">
      <c r="A491" s="106">
        <v>36</v>
      </c>
      <c r="B491" s="101">
        <f t="shared" si="49"/>
        <v>46077225.52006381</v>
      </c>
      <c r="C491" s="101">
        <f t="shared" si="50"/>
        <v>417625.7842075055</v>
      </c>
      <c r="D491" s="101">
        <f t="shared" si="51"/>
        <v>5331626.879855099</v>
      </c>
      <c r="E491" s="107">
        <f>IF(A491&gt;$B$160,"",B479*$B$162)</f>
        <v>0</v>
      </c>
      <c r="F491" s="107"/>
      <c r="G491" s="102">
        <f t="shared" si="52"/>
        <v>-5331626.879855099</v>
      </c>
      <c r="H491" s="102">
        <f t="shared" si="47"/>
        <v>146169.02447262692</v>
      </c>
      <c r="I491" s="103">
        <f t="shared" si="48"/>
        <v>-5185457.855382472</v>
      </c>
      <c r="J491" s="104">
        <f>SUM(I480:I491)</f>
        <v>-61327874.59080555</v>
      </c>
    </row>
    <row r="492" spans="1:10" s="23" customFormat="1" ht="12.75" hidden="1">
      <c r="A492" s="1">
        <v>37</v>
      </c>
      <c r="B492" s="101">
        <f t="shared" si="49"/>
        <v>41122978.01935065</v>
      </c>
      <c r="C492" s="101">
        <f t="shared" si="50"/>
        <v>377379.3791419322</v>
      </c>
      <c r="D492" s="101">
        <f t="shared" si="51"/>
        <v>5331626.879855099</v>
      </c>
      <c r="E492" s="101"/>
      <c r="F492" s="101"/>
      <c r="G492" s="102">
        <f t="shared" si="52"/>
        <v>-5331626.879855099</v>
      </c>
      <c r="H492" s="102">
        <f t="shared" si="47"/>
        <v>132082.78269967626</v>
      </c>
      <c r="I492" s="103">
        <f t="shared" si="48"/>
        <v>-5199544.097155423</v>
      </c>
      <c r="J492"/>
    </row>
    <row r="493" spans="1:10" s="23" customFormat="1" ht="12.75" hidden="1">
      <c r="A493" s="1">
        <v>38</v>
      </c>
      <c r="B493" s="101">
        <f t="shared" si="49"/>
        <v>36128154.48948572</v>
      </c>
      <c r="C493" s="101">
        <f t="shared" si="50"/>
        <v>336803.34999016626</v>
      </c>
      <c r="D493" s="101">
        <f t="shared" si="51"/>
        <v>5331626.879855099</v>
      </c>
      <c r="E493" s="101"/>
      <c r="F493" s="101"/>
      <c r="G493" s="102">
        <f t="shared" si="52"/>
        <v>-5331626.879855099</v>
      </c>
      <c r="H493" s="102">
        <f t="shared" si="47"/>
        <v>117881.17249655818</v>
      </c>
      <c r="I493" s="103">
        <f t="shared" si="48"/>
        <v>-5213745.707358541</v>
      </c>
      <c r="J493"/>
    </row>
    <row r="494" spans="1:10" s="23" customFormat="1" ht="12.75" hidden="1">
      <c r="A494" s="1">
        <v>39</v>
      </c>
      <c r="B494" s="101">
        <f t="shared" si="49"/>
        <v>31092422.60671218</v>
      </c>
      <c r="C494" s="101">
        <f t="shared" si="50"/>
        <v>295894.9970815658</v>
      </c>
      <c r="D494" s="101">
        <f t="shared" si="51"/>
        <v>5331626.879855099</v>
      </c>
      <c r="E494" s="101"/>
      <c r="F494" s="101"/>
      <c r="G494" s="102">
        <f t="shared" si="52"/>
        <v>-5331626.879855099</v>
      </c>
      <c r="H494" s="102">
        <f t="shared" si="47"/>
        <v>103563.24897854801</v>
      </c>
      <c r="I494" s="103">
        <f t="shared" si="48"/>
        <v>-5228063.630876551</v>
      </c>
      <c r="J494"/>
    </row>
    <row r="495" spans="1:10" s="23" customFormat="1" ht="12.75" hidden="1">
      <c r="A495" s="1">
        <v>40</v>
      </c>
      <c r="B495" s="101">
        <f t="shared" si="49"/>
        <v>26015447.325491864</v>
      </c>
      <c r="C495" s="101">
        <f t="shared" si="50"/>
        <v>254651.59863478193</v>
      </c>
      <c r="D495" s="101">
        <f t="shared" si="51"/>
        <v>5331626.879855099</v>
      </c>
      <c r="E495" s="101"/>
      <c r="F495" s="101"/>
      <c r="G495" s="102">
        <f t="shared" si="52"/>
        <v>-5331626.879855099</v>
      </c>
      <c r="H495" s="102">
        <f t="shared" si="47"/>
        <v>89128.05952217367</v>
      </c>
      <c r="I495" s="103">
        <f t="shared" si="48"/>
        <v>-5242498.820332926</v>
      </c>
      <c r="J495"/>
    </row>
    <row r="496" spans="1:10" s="23" customFormat="1" ht="12.75" hidden="1">
      <c r="A496" s="1">
        <v>41</v>
      </c>
      <c r="B496" s="101">
        <f t="shared" si="49"/>
        <v>20896890.85621343</v>
      </c>
      <c r="C496" s="101">
        <f t="shared" si="50"/>
        <v>213070.41057666886</v>
      </c>
      <c r="D496" s="101">
        <f t="shared" si="51"/>
        <v>5331626.879855099</v>
      </c>
      <c r="E496" s="101"/>
      <c r="F496" s="101"/>
      <c r="G496" s="102">
        <f t="shared" si="52"/>
        <v>-5331626.879855099</v>
      </c>
      <c r="H496" s="102">
        <f t="shared" si="47"/>
        <v>74574.6437018341</v>
      </c>
      <c r="I496" s="103">
        <f t="shared" si="48"/>
        <v>-5257052.236153265</v>
      </c>
      <c r="J496"/>
    </row>
    <row r="497" spans="1:10" s="23" customFormat="1" ht="12.75" hidden="1">
      <c r="A497" s="1">
        <v>42</v>
      </c>
      <c r="B497" s="101">
        <f t="shared" si="49"/>
        <v>15736412.642718043</v>
      </c>
      <c r="C497" s="101">
        <f t="shared" si="50"/>
        <v>171148.66635971062</v>
      </c>
      <c r="D497" s="101">
        <f t="shared" si="51"/>
        <v>5331626.879855099</v>
      </c>
      <c r="E497" s="101"/>
      <c r="F497" s="101"/>
      <c r="G497" s="102">
        <f t="shared" si="52"/>
        <v>-5331626.879855099</v>
      </c>
      <c r="H497" s="102">
        <f t="shared" si="47"/>
        <v>59902.03322589871</v>
      </c>
      <c r="I497" s="103">
        <f t="shared" si="48"/>
        <v>-5271724.8466292005</v>
      </c>
      <c r="J497"/>
    </row>
    <row r="498" spans="1:10" s="23" customFormat="1" ht="12.75" hidden="1">
      <c r="A498" s="1">
        <v>43</v>
      </c>
      <c r="B498" s="101">
        <f t="shared" si="49"/>
        <v>10533669.339640897</v>
      </c>
      <c r="C498" s="101">
        <f t="shared" si="50"/>
        <v>128883.57677795275</v>
      </c>
      <c r="D498" s="101">
        <f t="shared" si="51"/>
        <v>5331626.879855099</v>
      </c>
      <c r="E498" s="101"/>
      <c r="F498" s="101"/>
      <c r="G498" s="102">
        <f t="shared" si="52"/>
        <v>-5331626.879855099</v>
      </c>
      <c r="H498" s="102">
        <f t="shared" si="47"/>
        <v>45109.25187228346</v>
      </c>
      <c r="I498" s="103">
        <f t="shared" si="48"/>
        <v>-5286517.627982816</v>
      </c>
      <c r="J498"/>
    </row>
    <row r="499" spans="1:10" s="23" customFormat="1" ht="12.75" hidden="1">
      <c r="A499" s="1">
        <v>44</v>
      </c>
      <c r="B499" s="101">
        <f t="shared" si="49"/>
        <v>5288314.789567224</v>
      </c>
      <c r="C499" s="101">
        <f t="shared" si="50"/>
        <v>86272.32978142612</v>
      </c>
      <c r="D499" s="101">
        <f t="shared" si="51"/>
        <v>5331626.879855099</v>
      </c>
      <c r="E499" s="101"/>
      <c r="F499" s="101"/>
      <c r="G499" s="102">
        <f t="shared" si="52"/>
        <v>-5331626.879855099</v>
      </c>
      <c r="H499" s="102">
        <f t="shared" si="47"/>
        <v>30195.315423499138</v>
      </c>
      <c r="I499" s="103">
        <f t="shared" si="48"/>
        <v>-5301431.5644316</v>
      </c>
      <c r="J499"/>
    </row>
    <row r="500" spans="1:10" s="23" customFormat="1" ht="12.75" hidden="1">
      <c r="A500" s="1">
        <v>45</v>
      </c>
      <c r="B500" s="101">
        <f t="shared" si="49"/>
        <v>1.1762604117393494E-06</v>
      </c>
      <c r="C500" s="101">
        <f t="shared" si="50"/>
        <v>43312.09028905118</v>
      </c>
      <c r="D500" s="101">
        <f t="shared" si="51"/>
        <v>5331626.879855099</v>
      </c>
      <c r="E500" s="101"/>
      <c r="F500" s="101"/>
      <c r="G500" s="102">
        <f t="shared" si="52"/>
        <v>-5331626.879855099</v>
      </c>
      <c r="H500" s="102">
        <f t="shared" si="47"/>
        <v>15159.231601167912</v>
      </c>
      <c r="I500" s="103">
        <f t="shared" si="48"/>
        <v>-5316467.648253932</v>
      </c>
      <c r="J500"/>
    </row>
    <row r="501" spans="1:10" s="23" customFormat="1" ht="12.75" hidden="1">
      <c r="A501" s="1">
        <v>46</v>
      </c>
      <c r="B501" s="101">
        <f t="shared" si="49"/>
      </c>
      <c r="C501" s="101">
        <f t="shared" si="50"/>
      </c>
      <c r="D501" s="101">
        <f t="shared" si="51"/>
      </c>
      <c r="E501" s="101"/>
      <c r="F501" s="101"/>
      <c r="G501" s="102">
        <f t="shared" si="52"/>
      </c>
      <c r="H501" s="102">
        <f t="shared" si="47"/>
      </c>
      <c r="I501" s="103">
        <f t="shared" si="48"/>
      </c>
      <c r="J501"/>
    </row>
    <row r="502" spans="1:10" s="23" customFormat="1" ht="12.75" hidden="1">
      <c r="A502" s="1">
        <v>47</v>
      </c>
      <c r="B502" s="101">
        <f t="shared" si="49"/>
      </c>
      <c r="C502" s="101">
        <f t="shared" si="50"/>
      </c>
      <c r="D502" s="101">
        <f t="shared" si="51"/>
      </c>
      <c r="E502" s="101"/>
      <c r="F502" s="101"/>
      <c r="G502" s="102">
        <f t="shared" si="52"/>
      </c>
      <c r="H502" s="102">
        <f t="shared" si="47"/>
      </c>
      <c r="I502" s="103">
        <f t="shared" si="48"/>
      </c>
      <c r="J502"/>
    </row>
    <row r="503" spans="1:10" s="23" customFormat="1" ht="12.75" hidden="1">
      <c r="A503" s="106">
        <v>48</v>
      </c>
      <c r="B503" s="101">
        <f t="shared" si="49"/>
      </c>
      <c r="C503" s="101">
        <f t="shared" si="50"/>
      </c>
      <c r="D503" s="101">
        <f t="shared" si="51"/>
      </c>
      <c r="E503" s="107">
        <f>IF(A503&gt;$B$160,"",B491*$B$162)</f>
      </c>
      <c r="F503" s="107"/>
      <c r="G503" s="102">
        <f t="shared" si="52"/>
      </c>
      <c r="H503" s="102">
        <f t="shared" si="47"/>
      </c>
      <c r="I503" s="103">
        <f t="shared" si="48"/>
      </c>
      <c r="J503" s="104">
        <f>SUM(I492:I503)</f>
        <v>-47317046.17917426</v>
      </c>
    </row>
    <row r="504" spans="1:10" s="23" customFormat="1" ht="12.75" hidden="1">
      <c r="A504" s="1">
        <v>49</v>
      </c>
      <c r="B504" s="101">
        <f t="shared" si="49"/>
      </c>
      <c r="C504" s="101">
        <f t="shared" si="50"/>
      </c>
      <c r="D504" s="101">
        <f t="shared" si="51"/>
      </c>
      <c r="E504" s="101"/>
      <c r="F504" s="101"/>
      <c r="G504" s="102">
        <f t="shared" si="52"/>
      </c>
      <c r="H504" s="102">
        <f t="shared" si="47"/>
      </c>
      <c r="I504" s="103">
        <f t="shared" si="48"/>
      </c>
      <c r="J504"/>
    </row>
    <row r="505" spans="1:10" s="23" customFormat="1" ht="12.75" hidden="1">
      <c r="A505" s="1">
        <v>50</v>
      </c>
      <c r="B505" s="101">
        <f t="shared" si="49"/>
      </c>
      <c r="C505" s="101">
        <f t="shared" si="50"/>
      </c>
      <c r="D505" s="101">
        <f t="shared" si="51"/>
      </c>
      <c r="E505" s="101"/>
      <c r="F505" s="101"/>
      <c r="G505" s="102">
        <f t="shared" si="52"/>
      </c>
      <c r="H505" s="102">
        <f t="shared" si="47"/>
      </c>
      <c r="I505" s="103">
        <f t="shared" si="48"/>
      </c>
      <c r="J505"/>
    </row>
    <row r="506" spans="1:10" s="23" customFormat="1" ht="12.75" hidden="1">
      <c r="A506" s="1">
        <v>51</v>
      </c>
      <c r="B506" s="101">
        <f t="shared" si="49"/>
      </c>
      <c r="C506" s="101">
        <f t="shared" si="50"/>
      </c>
      <c r="D506" s="101">
        <f t="shared" si="51"/>
      </c>
      <c r="E506" s="101"/>
      <c r="F506" s="101"/>
      <c r="G506" s="102">
        <f t="shared" si="52"/>
      </c>
      <c r="H506" s="102">
        <f t="shared" si="47"/>
      </c>
      <c r="I506" s="103">
        <f t="shared" si="48"/>
      </c>
      <c r="J506"/>
    </row>
    <row r="507" spans="1:10" s="23" customFormat="1" ht="12.75" hidden="1">
      <c r="A507" s="1">
        <v>52</v>
      </c>
      <c r="B507" s="101">
        <f t="shared" si="49"/>
      </c>
      <c r="C507" s="101">
        <f t="shared" si="50"/>
      </c>
      <c r="D507" s="101">
        <f t="shared" si="51"/>
      </c>
      <c r="E507" s="101"/>
      <c r="F507" s="101"/>
      <c r="G507" s="102">
        <f t="shared" si="52"/>
      </c>
      <c r="H507" s="102">
        <f t="shared" si="47"/>
      </c>
      <c r="I507" s="103">
        <f t="shared" si="48"/>
      </c>
      <c r="J507"/>
    </row>
    <row r="508" spans="1:10" s="23" customFormat="1" ht="12.75" hidden="1">
      <c r="A508" s="1">
        <v>53</v>
      </c>
      <c r="B508" s="101">
        <f t="shared" si="49"/>
      </c>
      <c r="C508" s="101">
        <f t="shared" si="50"/>
      </c>
      <c r="D508" s="101">
        <f t="shared" si="51"/>
      </c>
      <c r="E508" s="101"/>
      <c r="F508" s="101"/>
      <c r="G508" s="102">
        <f t="shared" si="52"/>
      </c>
      <c r="H508" s="102">
        <f t="shared" si="47"/>
      </c>
      <c r="I508" s="103">
        <f t="shared" si="48"/>
      </c>
      <c r="J508"/>
    </row>
    <row r="509" spans="1:10" s="23" customFormat="1" ht="12.75" hidden="1">
      <c r="A509" s="1">
        <v>54</v>
      </c>
      <c r="B509" s="101">
        <f t="shared" si="49"/>
      </c>
      <c r="C509" s="101">
        <f t="shared" si="50"/>
      </c>
      <c r="D509" s="101">
        <f t="shared" si="51"/>
      </c>
      <c r="E509" s="101"/>
      <c r="F509" s="101"/>
      <c r="G509" s="102">
        <f t="shared" si="52"/>
      </c>
      <c r="H509" s="102">
        <f t="shared" si="47"/>
      </c>
      <c r="I509" s="103">
        <f t="shared" si="48"/>
      </c>
      <c r="J509"/>
    </row>
    <row r="510" spans="1:10" s="23" customFormat="1" ht="12.75" hidden="1">
      <c r="A510" s="1">
        <v>55</v>
      </c>
      <c r="B510" s="101">
        <f t="shared" si="49"/>
      </c>
      <c r="C510" s="101">
        <f t="shared" si="50"/>
      </c>
      <c r="D510" s="101">
        <f t="shared" si="51"/>
      </c>
      <c r="E510" s="101"/>
      <c r="F510" s="101"/>
      <c r="G510" s="102">
        <f t="shared" si="52"/>
      </c>
      <c r="H510" s="102">
        <f t="shared" si="47"/>
      </c>
      <c r="I510" s="103">
        <f t="shared" si="48"/>
      </c>
      <c r="J510"/>
    </row>
    <row r="511" spans="1:10" s="23" customFormat="1" ht="12.75" hidden="1">
      <c r="A511" s="1">
        <v>56</v>
      </c>
      <c r="B511" s="101">
        <f t="shared" si="49"/>
      </c>
      <c r="C511" s="101">
        <f t="shared" si="50"/>
      </c>
      <c r="D511" s="101">
        <f t="shared" si="51"/>
      </c>
      <c r="E511" s="101"/>
      <c r="F511" s="101"/>
      <c r="G511" s="102">
        <f t="shared" si="52"/>
      </c>
      <c r="H511" s="102">
        <f t="shared" si="47"/>
      </c>
      <c r="I511" s="103">
        <f t="shared" si="48"/>
      </c>
      <c r="J511"/>
    </row>
    <row r="512" spans="1:10" s="23" customFormat="1" ht="12.75" hidden="1">
      <c r="A512" s="1">
        <v>57</v>
      </c>
      <c r="B512" s="101">
        <f t="shared" si="49"/>
      </c>
      <c r="C512" s="101">
        <f t="shared" si="50"/>
      </c>
      <c r="D512" s="101">
        <f t="shared" si="51"/>
      </c>
      <c r="E512" s="101"/>
      <c r="F512" s="101"/>
      <c r="G512" s="102">
        <f t="shared" si="52"/>
      </c>
      <c r="H512" s="102">
        <f t="shared" si="47"/>
      </c>
      <c r="I512" s="103">
        <f t="shared" si="48"/>
      </c>
      <c r="J512"/>
    </row>
    <row r="513" spans="1:10" s="23" customFormat="1" ht="12.75" hidden="1">
      <c r="A513" s="1">
        <v>58</v>
      </c>
      <c r="B513" s="101">
        <f t="shared" si="49"/>
      </c>
      <c r="C513" s="101">
        <f t="shared" si="50"/>
      </c>
      <c r="D513" s="101">
        <f t="shared" si="51"/>
      </c>
      <c r="E513" s="101"/>
      <c r="F513" s="101"/>
      <c r="G513" s="102">
        <f t="shared" si="52"/>
      </c>
      <c r="H513" s="102">
        <f t="shared" si="47"/>
      </c>
      <c r="I513" s="103">
        <f t="shared" si="48"/>
      </c>
      <c r="J513"/>
    </row>
    <row r="514" spans="1:10" s="23" customFormat="1" ht="12.75" hidden="1">
      <c r="A514" s="1">
        <v>59</v>
      </c>
      <c r="B514" s="101">
        <f t="shared" si="49"/>
      </c>
      <c r="C514" s="101">
        <f t="shared" si="50"/>
      </c>
      <c r="D514" s="101">
        <f t="shared" si="51"/>
      </c>
      <c r="E514" s="101"/>
      <c r="F514" s="101"/>
      <c r="G514" s="102">
        <f t="shared" si="52"/>
      </c>
      <c r="H514" s="102">
        <f t="shared" si="47"/>
      </c>
      <c r="I514" s="103">
        <f t="shared" si="48"/>
      </c>
      <c r="J514"/>
    </row>
    <row r="515" spans="1:10" s="23" customFormat="1" ht="12.75" hidden="1">
      <c r="A515" s="106">
        <v>60</v>
      </c>
      <c r="B515" s="101">
        <f t="shared" si="49"/>
      </c>
      <c r="C515" s="101">
        <f t="shared" si="50"/>
      </c>
      <c r="D515" s="101">
        <f t="shared" si="51"/>
      </c>
      <c r="E515" s="107">
        <f>IF(A515&gt;$B$160,"",B503*$B$162)</f>
      </c>
      <c r="F515" s="107"/>
      <c r="G515" s="102">
        <f t="shared" si="52"/>
      </c>
      <c r="H515" s="102">
        <f t="shared" si="47"/>
      </c>
      <c r="I515" s="103">
        <f t="shared" si="48"/>
      </c>
      <c r="J515" s="104">
        <f>SUM(I504:I515)</f>
        <v>0</v>
      </c>
    </row>
    <row r="516" spans="1:10" s="23" customFormat="1" ht="12.75" hidden="1">
      <c r="A516"/>
      <c r="B516" s="101"/>
      <c r="C516" s="101"/>
      <c r="D516" s="101"/>
      <c r="E516" s="101"/>
      <c r="F516" s="101"/>
      <c r="G516" s="102"/>
      <c r="H516" s="102"/>
      <c r="I516"/>
      <c r="J516"/>
    </row>
    <row r="517" spans="1:10" s="23" customFormat="1" ht="12.75" hidden="1">
      <c r="A517"/>
      <c r="B517" s="101"/>
      <c r="C517" s="101"/>
      <c r="D517" s="101"/>
      <c r="E517" s="101"/>
      <c r="F517" s="101"/>
      <c r="G517" s="102"/>
      <c r="H517" s="1"/>
      <c r="I517" s="107" t="s">
        <v>77</v>
      </c>
      <c r="J517" s="18">
        <f>IRR(I455:I515,$B$435)</f>
        <v>0.0053235973666737645</v>
      </c>
    </row>
    <row r="518" spans="7:10" s="23" customFormat="1" ht="12.75" hidden="1">
      <c r="G518" s="70"/>
      <c r="H518" s="70"/>
      <c r="I518" s="111" t="s">
        <v>78</v>
      </c>
      <c r="J518" s="115">
        <f>VLOOKUP(B436,A444:C448,3,0)</f>
        <v>0.06578724722967233</v>
      </c>
    </row>
    <row r="519" spans="7:10" s="23" customFormat="1" ht="12.75" hidden="1">
      <c r="G519" s="70"/>
      <c r="H519" s="70"/>
      <c r="I519" s="111" t="s">
        <v>79</v>
      </c>
      <c r="J519" s="115">
        <f>(1+J518)*(1+B440)-1</f>
        <v>0.11907660959115596</v>
      </c>
    </row>
    <row r="520" spans="7:8" s="23" customFormat="1" ht="12.75">
      <c r="G520" s="70"/>
      <c r="H520" s="70"/>
    </row>
    <row r="521" spans="7:8" s="23" customFormat="1" ht="12.75">
      <c r="G521" s="70"/>
      <c r="H521" s="70"/>
    </row>
    <row r="522" spans="7:8" s="23" customFormat="1" ht="12.75">
      <c r="G522" s="70"/>
      <c r="H522" s="70"/>
    </row>
    <row r="523" spans="7:8" s="23" customFormat="1" ht="12.75">
      <c r="G523" s="70"/>
      <c r="H523" s="70"/>
    </row>
    <row r="524" spans="7:8" s="23" customFormat="1" ht="12.75">
      <c r="G524" s="70"/>
      <c r="H524" s="70"/>
    </row>
    <row r="525" spans="7:8" s="23" customFormat="1" ht="12.75">
      <c r="G525" s="70"/>
      <c r="H525" s="70"/>
    </row>
    <row r="526" spans="7:8" s="23" customFormat="1" ht="12.75">
      <c r="G526" s="70"/>
      <c r="H526" s="70"/>
    </row>
    <row r="527" spans="7:8" s="23" customFormat="1" ht="12.75">
      <c r="G527" s="70"/>
      <c r="H527" s="70"/>
    </row>
    <row r="528" spans="7:8" s="23" customFormat="1" ht="12.75">
      <c r="G528" s="70"/>
      <c r="H528" s="70"/>
    </row>
    <row r="529" spans="7:8" s="23" customFormat="1" ht="12.75">
      <c r="G529" s="70"/>
      <c r="H529" s="70"/>
    </row>
    <row r="530" spans="7:8" s="23" customFormat="1" ht="12.75">
      <c r="G530" s="70"/>
      <c r="H530" s="70"/>
    </row>
    <row r="531" spans="7:8" s="23" customFormat="1" ht="12.75">
      <c r="G531" s="70"/>
      <c r="H531" s="70"/>
    </row>
    <row r="532" spans="7:8" s="23" customFormat="1" ht="12.75">
      <c r="G532" s="70"/>
      <c r="H532" s="70"/>
    </row>
    <row r="533" spans="7:8" s="23" customFormat="1" ht="12.75">
      <c r="G533" s="70"/>
      <c r="H533" s="70"/>
    </row>
    <row r="534" spans="7:8" s="23" customFormat="1" ht="12.75">
      <c r="G534" s="70"/>
      <c r="H534" s="70"/>
    </row>
    <row r="535" spans="7:8" s="23" customFormat="1" ht="12.75">
      <c r="G535" s="70"/>
      <c r="H535" s="70"/>
    </row>
    <row r="536" spans="7:8" s="23" customFormat="1" ht="12.75">
      <c r="G536" s="70"/>
      <c r="H536" s="70"/>
    </row>
    <row r="537" spans="7:8" s="23" customFormat="1" ht="12.75">
      <c r="G537" s="70"/>
      <c r="H537" s="70"/>
    </row>
    <row r="538" spans="7:8" s="23" customFormat="1" ht="12.75">
      <c r="G538" s="70"/>
      <c r="H538" s="70"/>
    </row>
    <row r="539" spans="7:8" s="23" customFormat="1" ht="12.75">
      <c r="G539" s="70"/>
      <c r="H539" s="70"/>
    </row>
    <row r="540" spans="7:8" s="23" customFormat="1" ht="12.75">
      <c r="G540" s="70"/>
      <c r="H540" s="70"/>
    </row>
    <row r="541" spans="7:8" s="23" customFormat="1" ht="12.75">
      <c r="G541" s="70"/>
      <c r="H541" s="70"/>
    </row>
    <row r="542" spans="7:8" s="23" customFormat="1" ht="12.75">
      <c r="G542" s="70"/>
      <c r="H542" s="70"/>
    </row>
    <row r="543" spans="7:8" s="23" customFormat="1" ht="12.75">
      <c r="G543" s="70"/>
      <c r="H543" s="70"/>
    </row>
    <row r="544" spans="7:8" s="23" customFormat="1" ht="12.75">
      <c r="G544" s="70"/>
      <c r="H544" s="70"/>
    </row>
    <row r="545" spans="7:8" s="23" customFormat="1" ht="12.75">
      <c r="G545" s="70"/>
      <c r="H545" s="70"/>
    </row>
    <row r="546" spans="7:8" s="23" customFormat="1" ht="12.75">
      <c r="G546" s="70"/>
      <c r="H546" s="70"/>
    </row>
    <row r="547" spans="7:8" s="23" customFormat="1" ht="12.75">
      <c r="G547" s="70"/>
      <c r="H547" s="70"/>
    </row>
    <row r="548" spans="7:8" s="23" customFormat="1" ht="12.75">
      <c r="G548" s="70"/>
      <c r="H548" s="70"/>
    </row>
    <row r="549" spans="7:8" s="23" customFormat="1" ht="12.75">
      <c r="G549" s="70"/>
      <c r="H549" s="70"/>
    </row>
    <row r="550" spans="7:8" s="23" customFormat="1" ht="12.75">
      <c r="G550" s="70"/>
      <c r="H550" s="70"/>
    </row>
    <row r="551" spans="7:8" s="23" customFormat="1" ht="12.75">
      <c r="G551" s="70"/>
      <c r="H551" s="70"/>
    </row>
    <row r="552" spans="7:8" s="23" customFormat="1" ht="12.75">
      <c r="G552" s="70"/>
      <c r="H552" s="70"/>
    </row>
    <row r="553" spans="7:8" s="23" customFormat="1" ht="12.75">
      <c r="G553" s="70"/>
      <c r="H553" s="70"/>
    </row>
    <row r="554" spans="7:8" s="23" customFormat="1" ht="12.75">
      <c r="G554" s="70"/>
      <c r="H554" s="70"/>
    </row>
    <row r="555" spans="7:8" s="23" customFormat="1" ht="12.75">
      <c r="G555" s="70"/>
      <c r="H555" s="70"/>
    </row>
    <row r="556" spans="7:8" s="23" customFormat="1" ht="12.75">
      <c r="G556" s="70"/>
      <c r="H556" s="70"/>
    </row>
    <row r="557" spans="7:8" s="23" customFormat="1" ht="12.75">
      <c r="G557" s="70"/>
      <c r="H557" s="70"/>
    </row>
    <row r="558" spans="7:8" s="23" customFormat="1" ht="12.75">
      <c r="G558" s="70"/>
      <c r="H558" s="70"/>
    </row>
    <row r="559" spans="7:8" s="23" customFormat="1" ht="12.75">
      <c r="G559" s="70"/>
      <c r="H559" s="70"/>
    </row>
    <row r="560" spans="7:8" s="23" customFormat="1" ht="12.75">
      <c r="G560" s="70"/>
      <c r="H560" s="70"/>
    </row>
    <row r="561" spans="7:8" s="23" customFormat="1" ht="12.75">
      <c r="G561" s="70"/>
      <c r="H561" s="70"/>
    </row>
    <row r="562" spans="7:8" s="23" customFormat="1" ht="12.75">
      <c r="G562" s="70"/>
      <c r="H562" s="70"/>
    </row>
    <row r="563" spans="7:8" s="23" customFormat="1" ht="12.75">
      <c r="G563" s="70"/>
      <c r="H563" s="70"/>
    </row>
    <row r="564" spans="7:8" s="23" customFormat="1" ht="12.75">
      <c r="G564" s="70"/>
      <c r="H564" s="70"/>
    </row>
    <row r="565" spans="7:8" s="23" customFormat="1" ht="12.75">
      <c r="G565" s="70"/>
      <c r="H565" s="70"/>
    </row>
    <row r="566" spans="7:8" s="23" customFormat="1" ht="12.75">
      <c r="G566" s="70"/>
      <c r="H566" s="70"/>
    </row>
    <row r="567" spans="7:8" s="23" customFormat="1" ht="12.75">
      <c r="G567" s="70"/>
      <c r="H567" s="70"/>
    </row>
    <row r="568" spans="7:8" s="23" customFormat="1" ht="12.75">
      <c r="G568" s="70"/>
      <c r="H568" s="70"/>
    </row>
    <row r="569" spans="7:8" s="23" customFormat="1" ht="12.75">
      <c r="G569" s="70"/>
      <c r="H569" s="70"/>
    </row>
    <row r="570" spans="7:8" s="23" customFormat="1" ht="12.75">
      <c r="G570" s="70"/>
      <c r="H570" s="70"/>
    </row>
    <row r="571" spans="7:8" s="23" customFormat="1" ht="12.75">
      <c r="G571" s="70"/>
      <c r="H571" s="70"/>
    </row>
    <row r="572" spans="7:8" s="23" customFormat="1" ht="12.75">
      <c r="G572" s="70"/>
      <c r="H572" s="70"/>
    </row>
    <row r="573" spans="7:8" s="23" customFormat="1" ht="12.75">
      <c r="G573" s="70"/>
      <c r="H573" s="70"/>
    </row>
    <row r="574" spans="7:8" s="23" customFormat="1" ht="12.75">
      <c r="G574" s="70"/>
      <c r="H574" s="70"/>
    </row>
    <row r="575" spans="7:8" s="23" customFormat="1" ht="12.75">
      <c r="G575" s="70"/>
      <c r="H575" s="70"/>
    </row>
    <row r="576" spans="7:8" s="23" customFormat="1" ht="12.75">
      <c r="G576" s="70"/>
      <c r="H576" s="70"/>
    </row>
    <row r="577" spans="7:8" s="23" customFormat="1" ht="12.75">
      <c r="G577" s="70"/>
      <c r="H577" s="70"/>
    </row>
    <row r="578" spans="7:8" s="23" customFormat="1" ht="12.75">
      <c r="G578" s="70"/>
      <c r="H578" s="70"/>
    </row>
    <row r="579" spans="7:8" s="23" customFormat="1" ht="12.75">
      <c r="G579" s="70"/>
      <c r="H579" s="70"/>
    </row>
  </sheetData>
  <dataValidations count="4">
    <dataValidation type="list" allowBlank="1" showInputMessage="1" showErrorMessage="1" sqref="B430">
      <formula1>$G$391:$G$392</formula1>
    </dataValidation>
    <dataValidation type="list" allowBlank="1" showInputMessage="1" showErrorMessage="1" sqref="D153 D430 D389 D51 D102">
      <formula1>$L$6:$L$15</formula1>
    </dataValidation>
    <dataValidation type="list" allowBlank="1" showInputMessage="1" showErrorMessage="1" sqref="B153 B51 B102">
      <formula1>$G$6:$G$8</formula1>
    </dataValidation>
    <dataValidation type="list" allowBlank="1" showInputMessage="1" showErrorMessage="1" sqref="B108 B436 B57 B159">
      <formula1>$J$6:$J$10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2008-11-04T15:15:30Z</dcterms:created>
  <dcterms:modified xsi:type="dcterms:W3CDTF">2008-11-04T15:43:02Z</dcterms:modified>
  <cp:category/>
  <cp:version/>
  <cp:contentType/>
  <cp:contentStatus/>
</cp:coreProperties>
</file>